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22-23\"/>
    </mc:Choice>
  </mc:AlternateContent>
  <xr:revisionPtr revIDLastSave="0" documentId="13_ncr:1_{E63BCC0F-57DF-4C40-BCFE-B836946F2CE1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6.04.2022" sheetId="33" r:id="rId9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8" hidden="1">'26.04.2022'!$A$4:$AH$58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'26.04.2022'!$AE:$AE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4" i="33" l="1"/>
  <c r="AF44" i="33" s="1"/>
  <c r="AC35" i="33"/>
  <c r="AA35" i="33"/>
  <c r="U35" i="33"/>
  <c r="AD6" i="33"/>
  <c r="AF6" i="33" s="1"/>
  <c r="AD7" i="33"/>
  <c r="AD8" i="33"/>
  <c r="AD9" i="33"/>
  <c r="AF9" i="33" s="1"/>
  <c r="AD10" i="33"/>
  <c r="AF10" i="33" s="1"/>
  <c r="AD11" i="33"/>
  <c r="AD12" i="33"/>
  <c r="AD13" i="33"/>
  <c r="AF13" i="33" s="1"/>
  <c r="AD14" i="33"/>
  <c r="AF14" i="33" s="1"/>
  <c r="AD15" i="33"/>
  <c r="AD16" i="33"/>
  <c r="AD17" i="33"/>
  <c r="AF17" i="33" s="1"/>
  <c r="AD18" i="33"/>
  <c r="AF18" i="33" s="1"/>
  <c r="AD19" i="33"/>
  <c r="AD20" i="33"/>
  <c r="AD21" i="33"/>
  <c r="AF21" i="33" s="1"/>
  <c r="AD22" i="33"/>
  <c r="AD23" i="33"/>
  <c r="AD24" i="33"/>
  <c r="AD25" i="33"/>
  <c r="AF25" i="33" s="1"/>
  <c r="AD26" i="33"/>
  <c r="AF26" i="33" s="1"/>
  <c r="AD27" i="33"/>
  <c r="AD28" i="33"/>
  <c r="AD29" i="33"/>
  <c r="AF29" i="33" s="1"/>
  <c r="AD30" i="33"/>
  <c r="AD31" i="33"/>
  <c r="AD32" i="33"/>
  <c r="AD33" i="33"/>
  <c r="AF33" i="33" s="1"/>
  <c r="AD34" i="33"/>
  <c r="AF34" i="33" s="1"/>
  <c r="AD35" i="33"/>
  <c r="AD36" i="33"/>
  <c r="AD37" i="33"/>
  <c r="AF37" i="33" s="1"/>
  <c r="AD38" i="33"/>
  <c r="AF38" i="33" s="1"/>
  <c r="AD39" i="33"/>
  <c r="AD40" i="33"/>
  <c r="AD41" i="33"/>
  <c r="AF41" i="33" s="1"/>
  <c r="AD42" i="33"/>
  <c r="AF42" i="33" s="1"/>
  <c r="AD43" i="33"/>
  <c r="AD44" i="33"/>
  <c r="AD45" i="33"/>
  <c r="AF45" i="33" s="1"/>
  <c r="AD46" i="33"/>
  <c r="AD47" i="33"/>
  <c r="AD48" i="33"/>
  <c r="AD49" i="33"/>
  <c r="AF49" i="33" s="1"/>
  <c r="AD50" i="33"/>
  <c r="AF50" i="33" s="1"/>
  <c r="AD51" i="33"/>
  <c r="AD52" i="33"/>
  <c r="AD53" i="33"/>
  <c r="AD54" i="33"/>
  <c r="AF54" i="33" s="1"/>
  <c r="AD55" i="33"/>
  <c r="AD56" i="33"/>
  <c r="AD57" i="33"/>
  <c r="AF57" i="33" s="1"/>
  <c r="AD5" i="33"/>
  <c r="AF5" i="33" s="1"/>
  <c r="AF7" i="33"/>
  <c r="AF8" i="33"/>
  <c r="AF11" i="33"/>
  <c r="AF12" i="33"/>
  <c r="AF15" i="33"/>
  <c r="AF16" i="33"/>
  <c r="AF19" i="33"/>
  <c r="AF20" i="33"/>
  <c r="AF24" i="33"/>
  <c r="AF27" i="33"/>
  <c r="AF28" i="33"/>
  <c r="AF31" i="33"/>
  <c r="AF32" i="33"/>
  <c r="AF36" i="33"/>
  <c r="AF39" i="33"/>
  <c r="AF40" i="33"/>
  <c r="AF47" i="33"/>
  <c r="AF48" i="33"/>
  <c r="AF51" i="33"/>
  <c r="AF52" i="33"/>
  <c r="AF55" i="33"/>
  <c r="AF56" i="33"/>
  <c r="AE6" i="33"/>
  <c r="AE7" i="33"/>
  <c r="AE8" i="33"/>
  <c r="AE10" i="33"/>
  <c r="AE11" i="33"/>
  <c r="AE12" i="33"/>
  <c r="AE14" i="33"/>
  <c r="AE15" i="33"/>
  <c r="AE16" i="33"/>
  <c r="AE18" i="33"/>
  <c r="AE19" i="33"/>
  <c r="AE20" i="33"/>
  <c r="AE24" i="33"/>
  <c r="AE26" i="33"/>
  <c r="AE27" i="33"/>
  <c r="AE28" i="33"/>
  <c r="AE31" i="33"/>
  <c r="AE32" i="33"/>
  <c r="AE34" i="33"/>
  <c r="AE36" i="33"/>
  <c r="AE38" i="33"/>
  <c r="AE39" i="33"/>
  <c r="AE40" i="33"/>
  <c r="AE42" i="33"/>
  <c r="AE47" i="33"/>
  <c r="AE48" i="33"/>
  <c r="AE50" i="33"/>
  <c r="AE51" i="33"/>
  <c r="AE52" i="33"/>
  <c r="AE54" i="33"/>
  <c r="AE55" i="33"/>
  <c r="AE56" i="33"/>
  <c r="AB6" i="33"/>
  <c r="AB7" i="33"/>
  <c r="AB8" i="33"/>
  <c r="AB9" i="33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E22" i="33" s="1"/>
  <c r="AB23" i="33"/>
  <c r="AF23" i="33" s="1"/>
  <c r="AB24" i="33"/>
  <c r="AB25" i="33"/>
  <c r="AB26" i="33"/>
  <c r="AB27" i="33"/>
  <c r="AB28" i="33"/>
  <c r="AB29" i="33"/>
  <c r="AB30" i="33"/>
  <c r="AE30" i="33" s="1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F43" i="33" s="1"/>
  <c r="AB44" i="33"/>
  <c r="AB45" i="33"/>
  <c r="AB46" i="33"/>
  <c r="AE46" i="33" s="1"/>
  <c r="AB47" i="33"/>
  <c r="AB48" i="33"/>
  <c r="AB49" i="33"/>
  <c r="AB50" i="33"/>
  <c r="AB51" i="33"/>
  <c r="AB52" i="33"/>
  <c r="AB53" i="33"/>
  <c r="AB54" i="33"/>
  <c r="AB55" i="33"/>
  <c r="AB56" i="33"/>
  <c r="AB57" i="33"/>
  <c r="AB5" i="33"/>
  <c r="O49" i="33"/>
  <c r="U49" i="33"/>
  <c r="J49" i="33"/>
  <c r="U47" i="33"/>
  <c r="O47" i="33"/>
  <c r="AC39" i="33"/>
  <c r="J35" i="33"/>
  <c r="I33" i="33"/>
  <c r="U27" i="33"/>
  <c r="AA27" i="33" s="1"/>
  <c r="O27" i="33"/>
  <c r="U26" i="33"/>
  <c r="AA26" i="33" s="1"/>
  <c r="O26" i="33"/>
  <c r="J19" i="33"/>
  <c r="U12" i="33"/>
  <c r="AA12" i="33" s="1"/>
  <c r="O12" i="33"/>
  <c r="U11" i="33"/>
  <c r="AA11" i="33" s="1"/>
  <c r="O11" i="33"/>
  <c r="I11" i="33"/>
  <c r="O8" i="33"/>
  <c r="U8" i="33"/>
  <c r="AA8" i="33" s="1"/>
  <c r="O7" i="33"/>
  <c r="U7" i="33"/>
  <c r="AA7" i="33" s="1"/>
  <c r="O5" i="33"/>
  <c r="J5" i="33"/>
  <c r="I5" i="33"/>
  <c r="AC5" i="33"/>
  <c r="U5" i="33"/>
  <c r="AA5" i="33" s="1"/>
  <c r="Z55" i="33"/>
  <c r="G52" i="33"/>
  <c r="AC52" i="33"/>
  <c r="U51" i="33"/>
  <c r="AA51" i="33" s="1"/>
  <c r="AC51" i="33"/>
  <c r="J51" i="33"/>
  <c r="AA40" i="33"/>
  <c r="F40" i="33"/>
  <c r="AC41" i="33"/>
  <c r="AC38" i="33"/>
  <c r="AC37" i="33"/>
  <c r="X37" i="33"/>
  <c r="AA37" i="33"/>
  <c r="AC28" i="33"/>
  <c r="J22" i="33"/>
  <c r="E52" i="33"/>
  <c r="F52" i="33"/>
  <c r="N58" i="33"/>
  <c r="L58" i="33"/>
  <c r="I29" i="33"/>
  <c r="I25" i="33"/>
  <c r="U20" i="33"/>
  <c r="AA20" i="33" s="1"/>
  <c r="AC14" i="33"/>
  <c r="I14" i="33"/>
  <c r="U13" i="33"/>
  <c r="AA13" i="33" s="1"/>
  <c r="AC13" i="33"/>
  <c r="I13" i="33"/>
  <c r="AC10" i="33"/>
  <c r="U9" i="33"/>
  <c r="AA9" i="33" s="1"/>
  <c r="AC9" i="33"/>
  <c r="M58" i="33"/>
  <c r="D58" i="33"/>
  <c r="AC57" i="33"/>
  <c r="AA57" i="33"/>
  <c r="Z57" i="33"/>
  <c r="Y57" i="33"/>
  <c r="W57" i="33"/>
  <c r="R57" i="33"/>
  <c r="X57" i="33" s="1"/>
  <c r="I57" i="33"/>
  <c r="G57" i="33"/>
  <c r="AA56" i="33"/>
  <c r="Z56" i="33"/>
  <c r="X56" i="33"/>
  <c r="W56" i="33"/>
  <c r="S56" i="33"/>
  <c r="Y56" i="33" s="1"/>
  <c r="H56" i="33"/>
  <c r="AA55" i="33"/>
  <c r="Y55" i="33"/>
  <c r="X55" i="33"/>
  <c r="W55" i="33"/>
  <c r="H55" i="33"/>
  <c r="AA54" i="33"/>
  <c r="Z54" i="33"/>
  <c r="X54" i="33"/>
  <c r="W54" i="33"/>
  <c r="S54" i="33"/>
  <c r="Y54" i="33" s="1"/>
  <c r="AA53" i="33"/>
  <c r="Z53" i="33"/>
  <c r="X53" i="33"/>
  <c r="W53" i="33"/>
  <c r="S53" i="33"/>
  <c r="Y53" i="33" s="1"/>
  <c r="AA52" i="33"/>
  <c r="Z52" i="33"/>
  <c r="Y52" i="33"/>
  <c r="W52" i="33"/>
  <c r="R52" i="33"/>
  <c r="X52" i="33" s="1"/>
  <c r="Z51" i="33"/>
  <c r="Y51" i="33"/>
  <c r="W51" i="33"/>
  <c r="R51" i="33"/>
  <c r="X51" i="33" s="1"/>
  <c r="G51" i="33"/>
  <c r="AC50" i="33"/>
  <c r="AA50" i="33"/>
  <c r="Y50" i="33"/>
  <c r="W50" i="33"/>
  <c r="T50" i="33"/>
  <c r="Z50" i="33" s="1"/>
  <c r="R50" i="33"/>
  <c r="X50" i="33" s="1"/>
  <c r="I50" i="33"/>
  <c r="H50" i="33"/>
  <c r="G50" i="33"/>
  <c r="F50" i="33"/>
  <c r="AA49" i="33"/>
  <c r="Z49" i="33"/>
  <c r="AA48" i="33"/>
  <c r="Z48" i="33"/>
  <c r="Y48" i="33"/>
  <c r="AA47" i="33"/>
  <c r="Z47" i="33"/>
  <c r="Y47" i="33"/>
  <c r="X47" i="33"/>
  <c r="W47" i="33"/>
  <c r="AA46" i="33"/>
  <c r="Z46" i="33"/>
  <c r="X46" i="33"/>
  <c r="W46" i="33"/>
  <c r="S46" i="33"/>
  <c r="Y46" i="33" s="1"/>
  <c r="G46" i="33"/>
  <c r="AA45" i="33"/>
  <c r="Z45" i="33"/>
  <c r="Y45" i="33"/>
  <c r="X45" i="33"/>
  <c r="W45" i="33"/>
  <c r="AA44" i="33"/>
  <c r="Z44" i="33"/>
  <c r="W44" i="33"/>
  <c r="S44" i="33"/>
  <c r="Y44" i="33" s="1"/>
  <c r="R44" i="33"/>
  <c r="X44" i="33" s="1"/>
  <c r="I44" i="33"/>
  <c r="H44" i="33"/>
  <c r="F44" i="33"/>
  <c r="AA43" i="33"/>
  <c r="Z43" i="33"/>
  <c r="Y43" i="33"/>
  <c r="X43" i="33"/>
  <c r="W43" i="33"/>
  <c r="G43" i="33"/>
  <c r="AC42" i="33"/>
  <c r="AA42" i="33"/>
  <c r="Z42" i="33"/>
  <c r="Y42" i="33"/>
  <c r="X42" i="33"/>
  <c r="Q42" i="33"/>
  <c r="W42" i="33" s="1"/>
  <c r="I42" i="33"/>
  <c r="F42" i="33"/>
  <c r="E42" i="33"/>
  <c r="AA41" i="33"/>
  <c r="Z41" i="33"/>
  <c r="Y41" i="33"/>
  <c r="W41" i="33"/>
  <c r="X41" i="33"/>
  <c r="Z40" i="33"/>
  <c r="Y40" i="33"/>
  <c r="W40" i="33"/>
  <c r="X40" i="33"/>
  <c r="AA39" i="33"/>
  <c r="Z39" i="33"/>
  <c r="X39" i="33"/>
  <c r="W39" i="33"/>
  <c r="S39" i="33"/>
  <c r="Y39" i="33" s="1"/>
  <c r="I39" i="33"/>
  <c r="H39" i="33"/>
  <c r="G39" i="33"/>
  <c r="AA38" i="33"/>
  <c r="Z38" i="33"/>
  <c r="X38" i="33"/>
  <c r="W38" i="33"/>
  <c r="Y38" i="33"/>
  <c r="G38" i="33"/>
  <c r="Z37" i="33"/>
  <c r="Y37" i="33"/>
  <c r="W37" i="33"/>
  <c r="AC36" i="33"/>
  <c r="AA36" i="33"/>
  <c r="Z36" i="33"/>
  <c r="Y36" i="33"/>
  <c r="X36" i="33"/>
  <c r="W36" i="33"/>
  <c r="H36" i="33"/>
  <c r="Z35" i="33"/>
  <c r="X35" i="33"/>
  <c r="W35" i="33"/>
  <c r="S35" i="33"/>
  <c r="Y35" i="33" s="1"/>
  <c r="H35" i="33"/>
  <c r="G35" i="33"/>
  <c r="AA34" i="33"/>
  <c r="Z34" i="33"/>
  <c r="Y34" i="33"/>
  <c r="X34" i="33"/>
  <c r="W34" i="33"/>
  <c r="AA33" i="33"/>
  <c r="Z33" i="33"/>
  <c r="Y33" i="33"/>
  <c r="X33" i="33"/>
  <c r="W33" i="33"/>
  <c r="AA32" i="33"/>
  <c r="Z32" i="33"/>
  <c r="Y32" i="33"/>
  <c r="X32" i="33"/>
  <c r="W32" i="33"/>
  <c r="AA31" i="33"/>
  <c r="Z31" i="33"/>
  <c r="Y31" i="33"/>
  <c r="X31" i="33"/>
  <c r="W31" i="33"/>
  <c r="AA30" i="33"/>
  <c r="Z30" i="33"/>
  <c r="Y30" i="33"/>
  <c r="W30" i="33"/>
  <c r="R30" i="33"/>
  <c r="X30" i="33" s="1"/>
  <c r="H30" i="33"/>
  <c r="E30" i="33"/>
  <c r="AA29" i="33"/>
  <c r="Z29" i="33"/>
  <c r="X29" i="33"/>
  <c r="W29" i="33"/>
  <c r="S29" i="33"/>
  <c r="Y29" i="33" s="1"/>
  <c r="H29" i="33"/>
  <c r="AA28" i="33"/>
  <c r="Z28" i="33"/>
  <c r="Y28" i="33"/>
  <c r="I28" i="33"/>
  <c r="Z27" i="33"/>
  <c r="Y27" i="33"/>
  <c r="X27" i="33"/>
  <c r="W27" i="33"/>
  <c r="Z26" i="33"/>
  <c r="Y26" i="33"/>
  <c r="X26" i="33"/>
  <c r="W26" i="33"/>
  <c r="AA25" i="33"/>
  <c r="Z25" i="33"/>
  <c r="AC24" i="33"/>
  <c r="AA24" i="33"/>
  <c r="Z24" i="33"/>
  <c r="Y24" i="33"/>
  <c r="W24" i="33"/>
  <c r="R24" i="33"/>
  <c r="X24" i="33" s="1"/>
  <c r="I24" i="33"/>
  <c r="H24" i="33"/>
  <c r="G24" i="33"/>
  <c r="F24" i="33"/>
  <c r="AA23" i="33"/>
  <c r="Z23" i="33"/>
  <c r="Y23" i="33"/>
  <c r="X23" i="33"/>
  <c r="W23" i="33"/>
  <c r="H23" i="33"/>
  <c r="AA22" i="33"/>
  <c r="Z22" i="33"/>
  <c r="W22" i="33"/>
  <c r="S22" i="33"/>
  <c r="Y22" i="33" s="1"/>
  <c r="R22" i="33"/>
  <c r="X22" i="33" s="1"/>
  <c r="I22" i="33"/>
  <c r="H22" i="33"/>
  <c r="G22" i="33"/>
  <c r="AA21" i="33"/>
  <c r="Z21" i="33"/>
  <c r="W21" i="33"/>
  <c r="S21" i="33"/>
  <c r="Y21" i="33" s="1"/>
  <c r="R21" i="33"/>
  <c r="X21" i="33" s="1"/>
  <c r="H21" i="33"/>
  <c r="Z20" i="33"/>
  <c r="Y20" i="33"/>
  <c r="R20" i="33"/>
  <c r="X20" i="33" s="1"/>
  <c r="Q20" i="33"/>
  <c r="Q58" i="33" s="1"/>
  <c r="I20" i="33"/>
  <c r="G20" i="33"/>
  <c r="F20" i="33"/>
  <c r="E20" i="33"/>
  <c r="AA19" i="33"/>
  <c r="Y19" i="33"/>
  <c r="W19" i="33"/>
  <c r="R19" i="33"/>
  <c r="X19" i="33" s="1"/>
  <c r="H19" i="33"/>
  <c r="F19" i="33"/>
  <c r="E19" i="33"/>
  <c r="AC18" i="33"/>
  <c r="AA18" i="33"/>
  <c r="X18" i="33"/>
  <c r="W18" i="33"/>
  <c r="T18" i="33"/>
  <c r="Z18" i="33" s="1"/>
  <c r="S18" i="33"/>
  <c r="Y18" i="33" s="1"/>
  <c r="I18" i="33"/>
  <c r="H18" i="33"/>
  <c r="E18" i="33"/>
  <c r="AC17" i="33"/>
  <c r="AA17" i="33"/>
  <c r="Z17" i="33"/>
  <c r="X17" i="33"/>
  <c r="W17" i="33"/>
  <c r="S17" i="33"/>
  <c r="Y17" i="33" s="1"/>
  <c r="I17" i="33"/>
  <c r="H17" i="33"/>
  <c r="G17" i="33"/>
  <c r="AC16" i="33"/>
  <c r="AA16" i="33"/>
  <c r="Z16" i="33"/>
  <c r="Y16" i="33"/>
  <c r="X16" i="33"/>
  <c r="W16" i="33"/>
  <c r="G16" i="33"/>
  <c r="F16" i="33"/>
  <c r="E16" i="33"/>
  <c r="AA15" i="33"/>
  <c r="Z15" i="33"/>
  <c r="Y15" i="33"/>
  <c r="W15" i="33"/>
  <c r="R15" i="33"/>
  <c r="X15" i="33" s="1"/>
  <c r="H15" i="33"/>
  <c r="G15" i="33"/>
  <c r="AA14" i="33"/>
  <c r="Y14" i="33"/>
  <c r="W14" i="33"/>
  <c r="T14" i="33"/>
  <c r="R14" i="33"/>
  <c r="X14" i="33" s="1"/>
  <c r="H14" i="33"/>
  <c r="F14" i="33"/>
  <c r="E14" i="33"/>
  <c r="Z13" i="33"/>
  <c r="Y13" i="33"/>
  <c r="W13" i="33"/>
  <c r="R13" i="33"/>
  <c r="X13" i="33" s="1"/>
  <c r="H13" i="33"/>
  <c r="G13" i="33"/>
  <c r="Z12" i="33"/>
  <c r="Y12" i="33"/>
  <c r="X12" i="33"/>
  <c r="W12" i="33"/>
  <c r="Z11" i="33"/>
  <c r="AA10" i="33"/>
  <c r="Z10" i="33"/>
  <c r="Y10" i="33"/>
  <c r="X10" i="33"/>
  <c r="W10" i="33"/>
  <c r="H10" i="33"/>
  <c r="G10" i="33"/>
  <c r="F10" i="33"/>
  <c r="E10" i="33"/>
  <c r="Z9" i="33"/>
  <c r="Y9" i="33"/>
  <c r="X9" i="33"/>
  <c r="W9" i="33"/>
  <c r="H9" i="33"/>
  <c r="G9" i="33"/>
  <c r="F9" i="33"/>
  <c r="E9" i="33"/>
  <c r="Z8" i="33"/>
  <c r="Y8" i="33"/>
  <c r="X8" i="33"/>
  <c r="W8" i="33"/>
  <c r="Z7" i="33"/>
  <c r="AA6" i="33"/>
  <c r="Z6" i="33"/>
  <c r="X6" i="33"/>
  <c r="W6" i="33"/>
  <c r="S6" i="33"/>
  <c r="Y6" i="33" s="1"/>
  <c r="H6" i="33"/>
  <c r="G6" i="33"/>
  <c r="Z5" i="33"/>
  <c r="Y5" i="33"/>
  <c r="W5" i="33"/>
  <c r="R5" i="33"/>
  <c r="X5" i="33" s="1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F53" i="33" l="1"/>
  <c r="AF46" i="33"/>
  <c r="AE44" i="33"/>
  <c r="AE43" i="33"/>
  <c r="AF30" i="33"/>
  <c r="AE23" i="33"/>
  <c r="AF22" i="33"/>
  <c r="AB58" i="33"/>
  <c r="AF35" i="33"/>
  <c r="AE35" i="33"/>
  <c r="AE57" i="33"/>
  <c r="AE53" i="33"/>
  <c r="AE49" i="33"/>
  <c r="AE45" i="33"/>
  <c r="AE41" i="33"/>
  <c r="AE37" i="33"/>
  <c r="AE33" i="33"/>
  <c r="AE29" i="33"/>
  <c r="AE25" i="33"/>
  <c r="AE21" i="33"/>
  <c r="AE17" i="33"/>
  <c r="AE13" i="33"/>
  <c r="AE9" i="33"/>
  <c r="AE5" i="33"/>
  <c r="X58" i="33"/>
  <c r="R58" i="33"/>
  <c r="F58" i="33"/>
  <c r="I58" i="33"/>
  <c r="T58" i="33"/>
  <c r="Z58" i="33" s="1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P59" i="32"/>
  <c r="AA8" i="32"/>
  <c r="Z10" i="32"/>
  <c r="AA10" i="32" s="1"/>
  <c r="AA54" i="32"/>
  <c r="AB6" i="32"/>
  <c r="H58" i="33"/>
  <c r="Y58" i="33"/>
  <c r="U59" i="32"/>
  <c r="Z7" i="32"/>
  <c r="AA7" i="32" s="1"/>
  <c r="W15" i="32"/>
  <c r="AA15" i="32" s="1"/>
  <c r="AC58" i="33"/>
  <c r="G58" i="33"/>
  <c r="E58" i="33"/>
  <c r="Z14" i="33"/>
  <c r="S58" i="33"/>
  <c r="W20" i="33"/>
  <c r="AD58" i="33" l="1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W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E58" i="33" l="1"/>
  <c r="AF58" i="33"/>
  <c r="X58" i="30"/>
  <c r="X59" i="31"/>
</calcChain>
</file>

<file path=xl/sharedStrings.xml><?xml version="1.0" encoding="utf-8"?>
<sst xmlns="http://schemas.openxmlformats.org/spreadsheetml/2006/main" count="781" uniqueCount="96">
  <si>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</si>
  <si>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</si>
  <si>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</si>
  <si>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</si>
  <si>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</si>
  <si>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</si>
  <si>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</si>
  <si>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</si>
  <si>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</si>
  <si>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</si>
  <si>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</si>
  <si>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</si>
  <si>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</si>
  <si>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</si>
  <si>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</si>
  <si>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</si>
  <si>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</si>
  <si>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</si>
  <si>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</si>
  <si>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</si>
  <si>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</si>
  <si>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</si>
  <si>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</si>
  <si>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</si>
  <si>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</si>
  <si>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</si>
  <si>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</si>
  <si>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</si>
  <si>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</si>
  <si>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</si>
  <si>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</si>
  <si>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</si>
  <si>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</si>
  <si>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</si>
  <si>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</si>
  <si>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</si>
  <si>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</si>
  <si>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</si>
  <si>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</si>
  <si>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</si>
  <si>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</si>
  <si>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</si>
  <si>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</si>
  <si>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</si>
  <si>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</si>
  <si>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</si>
  <si>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</si>
  <si>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</si>
  <si>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</si>
  <si>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</si>
  <si>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</si>
  <si>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</si>
  <si>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</si>
  <si>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</si>
  <si>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</si>
  <si>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</si>
  <si>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</si>
  <si>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</si>
  <si>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</si>
  <si>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</si>
  <si>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</si>
  <si>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</si>
  <si>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</si>
  <si>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</si>
  <si>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</si>
  <si>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</si>
  <si>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</si>
  <si>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</si>
  <si>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</si>
  <si>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</si>
  <si>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</si>
  <si>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</si>
  <si>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</si>
  <si>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</si>
  <si>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</si>
  <si>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</si>
  <si>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</si>
  <si>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</si>
  <si>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</si>
  <si>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</si>
  <si>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</si>
  <si>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</si>
  <si>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</si>
  <si>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</si>
  <si>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</si>
  <si>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</si>
  <si>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</si>
  <si>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</si>
  <si>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</si>
  <si>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</si>
  <si>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Prepared by : Sridhar.S</t>
  </si>
  <si>
    <t>Receipts       22 -23</t>
  </si>
  <si>
    <t>Sales Exempt  Raised  on    22-23</t>
  </si>
  <si>
    <t>GST Value 22-23</t>
  </si>
  <si>
    <t>GST Bill Raised 22-23</t>
  </si>
  <si>
    <t>Customer Reconcilation as on 28.07.2022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</si>
</sst>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H60"/>
  <sheetViews>
    <sheetView tabSelected="1" zoomScale="90" zoomScaleNormal="90" workbookViewId="0">
      <pane ySplit="4" topLeftCell="A42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10" width="11.42578125" style="7" hidden="1" customWidth="1"/>
    <col min="11" max="11" width="11.42578125" style="7" customWidth="1"/>
    <col min="12" max="15" width="11.42578125" style="6" hidden="1" customWidth="1"/>
    <col min="16" max="16" width="11.42578125" style="6" customWidth="1"/>
    <col min="17" max="17" width="11.140625" style="6" hidden="1" customWidth="1"/>
    <col min="18" max="21" width="11.42578125" style="6" hidden="1" customWidth="1"/>
    <col min="22" max="22" width="11.42578125" style="6" customWidth="1"/>
    <col min="23" max="27" width="11" style="6" hidden="1" customWidth="1"/>
    <col min="28" max="28" width="11" style="6" customWidth="1"/>
    <col min="29" max="29" width="11.85546875" style="6" customWidth="1"/>
    <col min="30" max="30" width="13.7109375" style="8" customWidth="1"/>
    <col min="31" max="31" width="13.5703125" style="69" customWidth="1"/>
    <col min="32" max="32" width="13.42578125" style="8" customWidth="1"/>
    <col min="33" max="33" width="19.5703125" style="4" customWidth="1"/>
    <col min="34" max="34" width="12.42578125" style="3" customWidth="1"/>
    <col min="35" max="16384" width="9.140625" style="4"/>
  </cols>
  <sheetData>
    <row r="1" spans="1:34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7"/>
      <c r="L1" s="79"/>
      <c r="M1" s="79"/>
      <c r="N1" s="80"/>
      <c r="O1" s="80"/>
      <c r="P1" s="80"/>
      <c r="Q1" s="80"/>
      <c r="R1" s="80"/>
      <c r="S1" s="80"/>
      <c r="T1" s="80"/>
      <c r="U1" s="80"/>
      <c r="V1" s="80"/>
      <c r="W1" s="81"/>
      <c r="X1" s="80"/>
      <c r="Y1" s="80"/>
      <c r="Z1" s="80"/>
      <c r="AA1" s="80"/>
      <c r="AB1" s="80"/>
      <c r="AC1" s="79"/>
      <c r="AD1" s="82"/>
      <c r="AE1" s="83"/>
      <c r="AF1" s="84"/>
      <c r="AG1" s="85"/>
      <c r="AH1" s="28"/>
    </row>
    <row r="2" spans="1:34" s="1" customFormat="1" ht="15.95" customHeight="1">
      <c r="A2" s="77" t="s">
        <v>95</v>
      </c>
      <c r="B2" s="77"/>
      <c r="C2" s="77"/>
      <c r="D2" s="77"/>
      <c r="E2" s="77"/>
      <c r="F2" s="77"/>
      <c r="G2" s="78"/>
      <c r="H2" s="78"/>
      <c r="I2" s="77"/>
      <c r="J2" s="77"/>
      <c r="K2" s="77"/>
      <c r="L2" s="79"/>
      <c r="M2" s="79"/>
      <c r="N2" s="80"/>
      <c r="O2" s="80"/>
      <c r="P2" s="80"/>
      <c r="Q2" s="80"/>
      <c r="R2" s="80"/>
      <c r="S2" s="80"/>
      <c r="T2" s="80"/>
      <c r="U2" s="80"/>
      <c r="V2" s="80"/>
      <c r="W2" s="81"/>
      <c r="X2" s="80"/>
      <c r="Y2" s="80"/>
      <c r="Z2" s="80"/>
      <c r="AA2" s="80"/>
      <c r="AB2" s="80"/>
      <c r="AC2" s="79"/>
      <c r="AD2" s="82"/>
      <c r="AE2" s="83"/>
      <c r="AF2" s="84"/>
      <c r="AG2" s="85"/>
      <c r="AH2" s="28"/>
    </row>
    <row r="3" spans="1:34" s="1" customFormat="1" ht="15.95" customHeight="1">
      <c r="A3" s="78" t="s">
        <v>90</v>
      </c>
      <c r="B3" s="78"/>
      <c r="C3" s="78"/>
      <c r="D3" s="78"/>
      <c r="E3" s="78"/>
      <c r="F3" s="78"/>
      <c r="G3" s="78"/>
      <c r="H3" s="78"/>
      <c r="I3" s="77"/>
      <c r="J3" s="77"/>
      <c r="K3" s="77"/>
      <c r="L3" s="79"/>
      <c r="M3" s="79"/>
      <c r="N3" s="80"/>
      <c r="O3" s="80"/>
      <c r="P3" s="80"/>
      <c r="Q3" s="80"/>
      <c r="R3" s="80"/>
      <c r="S3" s="80"/>
      <c r="T3" s="80"/>
      <c r="U3" s="80"/>
      <c r="V3" s="80"/>
      <c r="W3" s="81"/>
      <c r="X3" s="80"/>
      <c r="Y3" s="80"/>
      <c r="Z3" s="80"/>
      <c r="AA3" s="80"/>
      <c r="AB3" s="80"/>
      <c r="AC3" s="79"/>
      <c r="AD3" s="82"/>
      <c r="AE3" s="83"/>
      <c r="AF3" s="84"/>
      <c r="AG3" s="85"/>
      <c r="AH3" s="28"/>
    </row>
    <row r="4" spans="1:34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91</v>
      </c>
      <c r="L4" s="86" t="s">
        <v>11</v>
      </c>
      <c r="M4" s="86" t="s">
        <v>69</v>
      </c>
      <c r="N4" s="86" t="s">
        <v>70</v>
      </c>
      <c r="O4" s="86" t="s">
        <v>87</v>
      </c>
      <c r="P4" s="86" t="s">
        <v>92</v>
      </c>
      <c r="Q4" s="86" t="s">
        <v>12</v>
      </c>
      <c r="R4" s="86" t="s">
        <v>13</v>
      </c>
      <c r="S4" s="86" t="s">
        <v>14</v>
      </c>
      <c r="T4" s="86" t="s">
        <v>71</v>
      </c>
      <c r="U4" s="86" t="s">
        <v>88</v>
      </c>
      <c r="V4" s="86" t="s">
        <v>94</v>
      </c>
      <c r="W4" s="86" t="s">
        <v>15</v>
      </c>
      <c r="X4" s="86" t="s">
        <v>16</v>
      </c>
      <c r="Y4" s="86" t="s">
        <v>17</v>
      </c>
      <c r="Z4" s="86" t="s">
        <v>72</v>
      </c>
      <c r="AA4" s="86" t="s">
        <v>89</v>
      </c>
      <c r="AB4" s="86" t="s">
        <v>93</v>
      </c>
      <c r="AC4" s="86" t="s">
        <v>18</v>
      </c>
      <c r="AD4" s="86" t="s">
        <v>73</v>
      </c>
      <c r="AE4" s="87" t="s">
        <v>20</v>
      </c>
      <c r="AF4" s="86" t="s">
        <v>21</v>
      </c>
      <c r="AG4" s="13" t="s">
        <v>74</v>
      </c>
      <c r="AH4" s="14"/>
    </row>
    <row r="5" spans="1:34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4"/>
      <c r="L5" s="72">
        <v>1920000</v>
      </c>
      <c r="M5" s="72">
        <v>-382500</v>
      </c>
      <c r="N5" s="72"/>
      <c r="O5" s="72">
        <f>712500-144799</f>
        <v>567701</v>
      </c>
      <c r="P5" s="72"/>
      <c r="Q5" s="72"/>
      <c r="R5" s="72">
        <f>690000+847500</f>
        <v>1537500</v>
      </c>
      <c r="S5" s="72">
        <v>0</v>
      </c>
      <c r="T5" s="72"/>
      <c r="U5" s="72">
        <f>712500+635593.22</f>
        <v>1348093.22</v>
      </c>
      <c r="V5" s="72"/>
      <c r="W5" s="72">
        <f t="shared" ref="W5:AB5" si="0">Q5*18%</f>
        <v>0</v>
      </c>
      <c r="X5" s="72">
        <f t="shared" si="0"/>
        <v>276750</v>
      </c>
      <c r="Y5" s="72">
        <f t="shared" si="0"/>
        <v>0</v>
      </c>
      <c r="Z5" s="72">
        <f t="shared" si="0"/>
        <v>0</v>
      </c>
      <c r="AA5" s="72">
        <f t="shared" si="0"/>
        <v>242656.77959999998</v>
      </c>
      <c r="AB5" s="72">
        <f t="shared" si="0"/>
        <v>0</v>
      </c>
      <c r="AC5" s="72">
        <f>9204+390+50+30000+21060</f>
        <v>60704</v>
      </c>
      <c r="AD5" s="75">
        <f>E5+F5+G5+H5+I5+J5+K5</f>
        <v>5570905</v>
      </c>
      <c r="AE5" s="72">
        <f>AD5-L5-Q5-R5-AC5-W5-X5-S5-Y5-M5-T5-Z5-N5-O5-U5-AA5-AB5</f>
        <v>4.0000004810281098E-4</v>
      </c>
      <c r="AF5" s="76">
        <f>D5+W5+X5+AC5+Y5-AD5+Z5+AA5+AB5</f>
        <v>-490794.22039999999</v>
      </c>
      <c r="AG5" s="71"/>
    </row>
    <row r="6" spans="1:34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4"/>
      <c r="L6" s="72"/>
      <c r="M6" s="72">
        <v>936000</v>
      </c>
      <c r="N6" s="72">
        <v>468000</v>
      </c>
      <c r="O6" s="72"/>
      <c r="P6" s="72"/>
      <c r="Q6" s="72"/>
      <c r="R6" s="72">
        <v>0</v>
      </c>
      <c r="S6" s="72">
        <f>1386000-450000</f>
        <v>936000</v>
      </c>
      <c r="T6" s="72">
        <v>468000</v>
      </c>
      <c r="U6" s="72"/>
      <c r="V6" s="72"/>
      <c r="W6" s="72">
        <f>Q6*18%</f>
        <v>0</v>
      </c>
      <c r="X6" s="72">
        <f>R6*18%</f>
        <v>0</v>
      </c>
      <c r="Y6" s="72">
        <f>S6*18%</f>
        <v>168480</v>
      </c>
      <c r="Z6" s="72">
        <f>T6*18%</f>
        <v>84240</v>
      </c>
      <c r="AA6" s="72">
        <f>U6*18%</f>
        <v>0</v>
      </c>
      <c r="AB6" s="72">
        <f t="shared" ref="AB6:AB57" si="1">V6*18%</f>
        <v>0</v>
      </c>
      <c r="AC6" s="72">
        <v>9204</v>
      </c>
      <c r="AD6" s="75">
        <f t="shared" ref="AD6:AD57" si="2">E6+F6+G6+H6+I6+J6+K6</f>
        <v>4526554</v>
      </c>
      <c r="AE6" s="72">
        <f t="shared" ref="AE6:AE57" si="3">AD6-L6-Q6-R6-AC6-W6-X6-S6-Y6-M6-T6-Z6-N6-O6-U6-AA6-AB6</f>
        <v>1456630</v>
      </c>
      <c r="AF6" s="76">
        <f t="shared" ref="AF6:AF57" si="4">D6+W6+X6+AC6+Y6-AD6+Z6+AA6+AB6</f>
        <v>-120630</v>
      </c>
      <c r="AG6" s="71"/>
    </row>
    <row r="7" spans="1:34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4"/>
      <c r="L7" s="72"/>
      <c r="M7" s="72"/>
      <c r="N7" s="72">
        <v>0</v>
      </c>
      <c r="O7" s="72">
        <f>887500+887500+887500+887500</f>
        <v>3550000</v>
      </c>
      <c r="P7" s="72"/>
      <c r="Q7" s="72"/>
      <c r="R7" s="72"/>
      <c r="S7" s="72"/>
      <c r="T7" s="72">
        <v>0</v>
      </c>
      <c r="U7" s="72">
        <f>887500+887500+887500+887500</f>
        <v>3550000</v>
      </c>
      <c r="V7" s="72"/>
      <c r="W7" s="72"/>
      <c r="X7" s="72"/>
      <c r="Y7" s="72"/>
      <c r="Z7" s="72">
        <f t="shared" ref="Z7:Z18" si="5">T7*18%</f>
        <v>0</v>
      </c>
      <c r="AA7" s="72">
        <f t="shared" ref="AA7:AA18" si="6">U7*18%</f>
        <v>639000</v>
      </c>
      <c r="AB7" s="72">
        <f t="shared" si="1"/>
        <v>0</v>
      </c>
      <c r="AC7" s="72">
        <v>0</v>
      </c>
      <c r="AD7" s="75">
        <f t="shared" si="2"/>
        <v>7525000</v>
      </c>
      <c r="AE7" s="72">
        <f t="shared" si="3"/>
        <v>-214000</v>
      </c>
      <c r="AF7" s="76">
        <f t="shared" si="4"/>
        <v>614000</v>
      </c>
      <c r="AG7" s="71"/>
    </row>
    <row r="8" spans="1:34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4"/>
      <c r="L8" s="72">
        <v>0</v>
      </c>
      <c r="M8" s="72">
        <v>512500</v>
      </c>
      <c r="N8" s="72">
        <v>512500</v>
      </c>
      <c r="O8" s="72">
        <f>512500+512500</f>
        <v>1025000</v>
      </c>
      <c r="P8" s="72"/>
      <c r="Q8" s="72"/>
      <c r="R8" s="72"/>
      <c r="S8" s="72">
        <v>512500</v>
      </c>
      <c r="T8" s="72">
        <v>512500</v>
      </c>
      <c r="U8" s="72">
        <f>512500+512500</f>
        <v>1025000</v>
      </c>
      <c r="V8" s="72"/>
      <c r="W8" s="72">
        <f t="shared" ref="W8:Y10" si="7">Q8*18%</f>
        <v>0</v>
      </c>
      <c r="X8" s="72">
        <f t="shared" si="7"/>
        <v>0</v>
      </c>
      <c r="Y8" s="72">
        <f t="shared" si="7"/>
        <v>92250</v>
      </c>
      <c r="Z8" s="72">
        <f t="shared" si="5"/>
        <v>92250</v>
      </c>
      <c r="AA8" s="72">
        <f t="shared" si="6"/>
        <v>184500</v>
      </c>
      <c r="AB8" s="72">
        <f t="shared" si="1"/>
        <v>0</v>
      </c>
      <c r="AC8" s="72">
        <v>0</v>
      </c>
      <c r="AD8" s="75">
        <f t="shared" si="2"/>
        <v>4500000</v>
      </c>
      <c r="AE8" s="72">
        <f t="shared" si="3"/>
        <v>31000</v>
      </c>
      <c r="AF8" s="76">
        <f t="shared" si="4"/>
        <v>1869000</v>
      </c>
      <c r="AG8" s="71"/>
    </row>
    <row r="9" spans="1:34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4"/>
      <c r="L9" s="72">
        <v>1800000</v>
      </c>
      <c r="M9" s="72">
        <v>-600000</v>
      </c>
      <c r="N9" s="72"/>
      <c r="O9" s="72">
        <v>600000</v>
      </c>
      <c r="P9" s="72"/>
      <c r="Q9" s="72">
        <v>1073000</v>
      </c>
      <c r="R9" s="72">
        <v>127000</v>
      </c>
      <c r="S9" s="72">
        <v>0</v>
      </c>
      <c r="T9" s="72"/>
      <c r="U9" s="72">
        <f>600000+42372.88</f>
        <v>642372.88</v>
      </c>
      <c r="V9" s="72"/>
      <c r="W9" s="72">
        <f t="shared" si="7"/>
        <v>193140</v>
      </c>
      <c r="X9" s="72">
        <f t="shared" si="7"/>
        <v>22860</v>
      </c>
      <c r="Y9" s="72">
        <f t="shared" si="7"/>
        <v>0</v>
      </c>
      <c r="Z9" s="72">
        <f t="shared" si="5"/>
        <v>0</v>
      </c>
      <c r="AA9" s="72">
        <f t="shared" si="6"/>
        <v>115627.11839999999</v>
      </c>
      <c r="AB9" s="72">
        <f t="shared" si="1"/>
        <v>0</v>
      </c>
      <c r="AC9" s="72">
        <f>10620+9204+75440</f>
        <v>95264</v>
      </c>
      <c r="AD9" s="75">
        <f t="shared" si="2"/>
        <v>4081625</v>
      </c>
      <c r="AE9" s="72">
        <f t="shared" si="3"/>
        <v>12361.001600000003</v>
      </c>
      <c r="AF9" s="76">
        <f t="shared" si="4"/>
        <v>-54733.881600000008</v>
      </c>
      <c r="AG9" s="71"/>
    </row>
    <row r="10" spans="1:34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4"/>
      <c r="L10" s="72">
        <v>1800000</v>
      </c>
      <c r="M10" s="72"/>
      <c r="N10" s="72"/>
      <c r="O10" s="72"/>
      <c r="P10" s="72"/>
      <c r="Q10" s="72">
        <v>1073000</v>
      </c>
      <c r="R10" s="72">
        <v>127000</v>
      </c>
      <c r="S10" s="72">
        <v>600000</v>
      </c>
      <c r="T10" s="72"/>
      <c r="U10" s="72"/>
      <c r="V10" s="72"/>
      <c r="W10" s="72">
        <f t="shared" si="7"/>
        <v>193140</v>
      </c>
      <c r="X10" s="72">
        <f t="shared" si="7"/>
        <v>22860</v>
      </c>
      <c r="Y10" s="72">
        <f t="shared" si="7"/>
        <v>108000</v>
      </c>
      <c r="Z10" s="72">
        <f t="shared" si="5"/>
        <v>0</v>
      </c>
      <c r="AA10" s="72">
        <f t="shared" si="6"/>
        <v>0</v>
      </c>
      <c r="AB10" s="72">
        <f t="shared" si="1"/>
        <v>0</v>
      </c>
      <c r="AC10" s="72">
        <f>1800+133850+390+30000+50+16709+9375+3750+3839+7500</f>
        <v>207263</v>
      </c>
      <c r="AD10" s="75">
        <f t="shared" si="2"/>
        <v>4131263</v>
      </c>
      <c r="AE10" s="72">
        <f t="shared" si="3"/>
        <v>0</v>
      </c>
      <c r="AF10" s="76">
        <f t="shared" si="4"/>
        <v>0</v>
      </c>
      <c r="AG10" s="71" t="s">
        <v>75</v>
      </c>
    </row>
    <row r="11" spans="1:34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4"/>
      <c r="L11" s="72"/>
      <c r="M11" s="72"/>
      <c r="N11" s="72">
        <v>1400000</v>
      </c>
      <c r="O11" s="72">
        <f>700000+700000</f>
        <v>1400000</v>
      </c>
      <c r="P11" s="72"/>
      <c r="Q11" s="72"/>
      <c r="R11" s="72"/>
      <c r="S11" s="72"/>
      <c r="T11" s="72">
        <v>1400000</v>
      </c>
      <c r="U11" s="72">
        <f>700000+700000</f>
        <v>1400000</v>
      </c>
      <c r="V11" s="72"/>
      <c r="W11" s="72"/>
      <c r="X11" s="72"/>
      <c r="Y11" s="72"/>
      <c r="Z11" s="72">
        <f t="shared" si="5"/>
        <v>252000</v>
      </c>
      <c r="AA11" s="72">
        <f t="shared" si="6"/>
        <v>252000</v>
      </c>
      <c r="AB11" s="72">
        <f t="shared" si="1"/>
        <v>0</v>
      </c>
      <c r="AC11" s="72">
        <v>0</v>
      </c>
      <c r="AD11" s="75">
        <f t="shared" si="2"/>
        <v>6445000</v>
      </c>
      <c r="AE11" s="72">
        <f t="shared" si="3"/>
        <v>341000</v>
      </c>
      <c r="AF11" s="76">
        <f t="shared" si="4"/>
        <v>59000</v>
      </c>
      <c r="AG11" s="71"/>
    </row>
    <row r="12" spans="1:34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4"/>
      <c r="L12" s="72"/>
      <c r="M12" s="72">
        <v>512500</v>
      </c>
      <c r="N12" s="72">
        <v>512500</v>
      </c>
      <c r="O12" s="72">
        <f>512500+700000</f>
        <v>1212500</v>
      </c>
      <c r="P12" s="72"/>
      <c r="Q12" s="72"/>
      <c r="R12" s="72"/>
      <c r="S12" s="72">
        <v>512500</v>
      </c>
      <c r="T12" s="72">
        <v>512500</v>
      </c>
      <c r="U12" s="72">
        <f>512500+700000</f>
        <v>1212500</v>
      </c>
      <c r="V12" s="72"/>
      <c r="W12" s="72">
        <f t="shared" ref="W12:W24" si="8">Q12*18%</f>
        <v>0</v>
      </c>
      <c r="X12" s="72">
        <f t="shared" ref="X12:X24" si="9">R12*18%</f>
        <v>0</v>
      </c>
      <c r="Y12" s="72">
        <f t="shared" ref="Y12:Y24" si="10">S12*18%</f>
        <v>92250</v>
      </c>
      <c r="Z12" s="72">
        <f t="shared" si="5"/>
        <v>92250</v>
      </c>
      <c r="AA12" s="72">
        <f t="shared" si="6"/>
        <v>218250</v>
      </c>
      <c r="AB12" s="72">
        <f t="shared" si="1"/>
        <v>0</v>
      </c>
      <c r="AC12" s="72"/>
      <c r="AD12" s="75">
        <f t="shared" si="2"/>
        <v>4500000</v>
      </c>
      <c r="AE12" s="72">
        <f t="shared" si="3"/>
        <v>-377750</v>
      </c>
      <c r="AF12" s="76">
        <f t="shared" si="4"/>
        <v>402750</v>
      </c>
      <c r="AG12" s="71"/>
    </row>
    <row r="13" spans="1:34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4"/>
      <c r="L13" s="72"/>
      <c r="M13" s="72">
        <v>1425000</v>
      </c>
      <c r="N13" s="72"/>
      <c r="O13" s="72">
        <v>675000</v>
      </c>
      <c r="P13" s="72"/>
      <c r="Q13" s="72"/>
      <c r="R13" s="72">
        <f>950000</f>
        <v>950000</v>
      </c>
      <c r="S13" s="72">
        <v>475000</v>
      </c>
      <c r="T13" s="72"/>
      <c r="U13" s="72">
        <f>475000+200000+16262</f>
        <v>691262</v>
      </c>
      <c r="V13" s="72"/>
      <c r="W13" s="72">
        <f t="shared" si="8"/>
        <v>0</v>
      </c>
      <c r="X13" s="72">
        <f t="shared" si="9"/>
        <v>171000</v>
      </c>
      <c r="Y13" s="72">
        <f t="shared" si="10"/>
        <v>85500</v>
      </c>
      <c r="Z13" s="72">
        <f t="shared" si="5"/>
        <v>0</v>
      </c>
      <c r="AA13" s="72">
        <f t="shared" si="6"/>
        <v>124427.15999999999</v>
      </c>
      <c r="AB13" s="72">
        <f t="shared" si="1"/>
        <v>0</v>
      </c>
      <c r="AC13" s="72">
        <f>9204+53115</f>
        <v>62319</v>
      </c>
      <c r="AD13" s="75">
        <f t="shared" si="2"/>
        <v>4659508</v>
      </c>
      <c r="AE13" s="72">
        <f t="shared" si="3"/>
        <v>-0.15999999998894054</v>
      </c>
      <c r="AF13" s="76">
        <f t="shared" si="4"/>
        <v>-16261.840000000011</v>
      </c>
      <c r="AG13" s="71"/>
    </row>
    <row r="14" spans="1:34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1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4"/>
      <c r="L14" s="72">
        <v>1596000</v>
      </c>
      <c r="M14" s="72">
        <v>-358500</v>
      </c>
      <c r="N14" s="72">
        <v>612500</v>
      </c>
      <c r="O14" s="72"/>
      <c r="P14" s="72"/>
      <c r="Q14" s="72"/>
      <c r="R14" s="72">
        <f>562000+263000+412500</f>
        <v>1237500</v>
      </c>
      <c r="S14" s="72">
        <v>0</v>
      </c>
      <c r="T14" s="72">
        <f>612500</f>
        <v>612500</v>
      </c>
      <c r="U14" s="72"/>
      <c r="V14" s="72"/>
      <c r="W14" s="72">
        <f t="shared" si="8"/>
        <v>0</v>
      </c>
      <c r="X14" s="72">
        <f t="shared" si="9"/>
        <v>222750</v>
      </c>
      <c r="Y14" s="72">
        <f t="shared" si="10"/>
        <v>0</v>
      </c>
      <c r="Z14" s="72">
        <f t="shared" si="5"/>
        <v>110250</v>
      </c>
      <c r="AA14" s="72">
        <f t="shared" si="6"/>
        <v>0</v>
      </c>
      <c r="AB14" s="72">
        <f t="shared" si="1"/>
        <v>0</v>
      </c>
      <c r="AC14" s="72">
        <f>9204+41690+18550</f>
        <v>69444</v>
      </c>
      <c r="AD14" s="75">
        <f t="shared" si="2"/>
        <v>4102444</v>
      </c>
      <c r="AE14" s="72">
        <f t="shared" si="3"/>
        <v>0</v>
      </c>
      <c r="AF14" s="76">
        <f t="shared" si="4"/>
        <v>0</v>
      </c>
      <c r="AG14" s="71" t="s">
        <v>75</v>
      </c>
    </row>
    <row r="15" spans="1:34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4"/>
      <c r="L15" s="72"/>
      <c r="M15" s="72">
        <v>1425000</v>
      </c>
      <c r="N15" s="72"/>
      <c r="O15" s="72">
        <v>475000</v>
      </c>
      <c r="P15" s="72"/>
      <c r="Q15" s="72"/>
      <c r="R15" s="72">
        <f>475000+475000</f>
        <v>950000</v>
      </c>
      <c r="S15" s="72">
        <v>475000</v>
      </c>
      <c r="T15" s="72"/>
      <c r="U15" s="72">
        <v>475000</v>
      </c>
      <c r="V15" s="72"/>
      <c r="W15" s="72">
        <f t="shared" si="8"/>
        <v>0</v>
      </c>
      <c r="X15" s="72">
        <f t="shared" si="9"/>
        <v>171000</v>
      </c>
      <c r="Y15" s="72">
        <f t="shared" si="10"/>
        <v>85500</v>
      </c>
      <c r="Z15" s="72">
        <f t="shared" si="5"/>
        <v>0</v>
      </c>
      <c r="AA15" s="72">
        <f t="shared" si="6"/>
        <v>85500</v>
      </c>
      <c r="AB15" s="72">
        <f t="shared" si="1"/>
        <v>0</v>
      </c>
      <c r="AC15" s="72">
        <v>9204</v>
      </c>
      <c r="AD15" s="75">
        <f t="shared" si="2"/>
        <v>4430000</v>
      </c>
      <c r="AE15" s="72">
        <f t="shared" si="3"/>
        <v>278796</v>
      </c>
      <c r="AF15" s="76">
        <f t="shared" si="4"/>
        <v>121204</v>
      </c>
      <c r="AG15" s="71"/>
    </row>
    <row r="16" spans="1:34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1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4"/>
      <c r="L16" s="72">
        <v>2662500</v>
      </c>
      <c r="M16" s="72">
        <v>-815625</v>
      </c>
      <c r="N16" s="72">
        <v>574168</v>
      </c>
      <c r="O16" s="72"/>
      <c r="P16" s="72"/>
      <c r="Q16" s="72">
        <v>1642250</v>
      </c>
      <c r="R16" s="72">
        <v>204625</v>
      </c>
      <c r="S16" s="72">
        <v>0</v>
      </c>
      <c r="T16" s="72">
        <v>1020250</v>
      </c>
      <c r="U16" s="72"/>
      <c r="V16" s="72"/>
      <c r="W16" s="72">
        <f t="shared" si="8"/>
        <v>295605</v>
      </c>
      <c r="X16" s="72">
        <f t="shared" si="9"/>
        <v>36832.5</v>
      </c>
      <c r="Y16" s="72">
        <f t="shared" si="10"/>
        <v>0</v>
      </c>
      <c r="Z16" s="72">
        <f t="shared" si="5"/>
        <v>183645</v>
      </c>
      <c r="AA16" s="72">
        <f t="shared" si="6"/>
        <v>0</v>
      </c>
      <c r="AB16" s="72">
        <f t="shared" si="1"/>
        <v>0</v>
      </c>
      <c r="AC16" s="72">
        <f>196897+30000+21110+390+67686+1404</f>
        <v>317487</v>
      </c>
      <c r="AD16" s="75">
        <f t="shared" si="2"/>
        <v>6121737</v>
      </c>
      <c r="AE16" s="72">
        <f t="shared" si="3"/>
        <v>-0.5</v>
      </c>
      <c r="AF16" s="76">
        <f t="shared" si="4"/>
        <v>36832.5</v>
      </c>
      <c r="AG16" s="71" t="s">
        <v>75</v>
      </c>
    </row>
    <row r="17" spans="1:33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4"/>
      <c r="L17" s="72">
        <v>0</v>
      </c>
      <c r="M17" s="72">
        <v>1443750</v>
      </c>
      <c r="N17" s="72">
        <v>681250</v>
      </c>
      <c r="O17" s="72"/>
      <c r="P17" s="72"/>
      <c r="Q17" s="72"/>
      <c r="R17" s="72">
        <v>0</v>
      </c>
      <c r="S17" s="72">
        <f>481250+481250+481250</f>
        <v>1443750</v>
      </c>
      <c r="T17" s="72">
        <v>681250</v>
      </c>
      <c r="U17" s="72"/>
      <c r="V17" s="72"/>
      <c r="W17" s="72">
        <f t="shared" si="8"/>
        <v>0</v>
      </c>
      <c r="X17" s="72">
        <f t="shared" si="9"/>
        <v>0</v>
      </c>
      <c r="Y17" s="72">
        <f t="shared" si="10"/>
        <v>259875</v>
      </c>
      <c r="Z17" s="72">
        <f t="shared" si="5"/>
        <v>122625</v>
      </c>
      <c r="AA17" s="72">
        <f t="shared" si="6"/>
        <v>0</v>
      </c>
      <c r="AB17" s="72">
        <f t="shared" si="1"/>
        <v>0</v>
      </c>
      <c r="AC17" s="72">
        <f>9204+41300+15080+390</f>
        <v>65974</v>
      </c>
      <c r="AD17" s="75">
        <f t="shared" si="2"/>
        <v>4698474</v>
      </c>
      <c r="AE17" s="72">
        <f t="shared" si="3"/>
        <v>0</v>
      </c>
      <c r="AF17" s="76">
        <f t="shared" si="4"/>
        <v>0</v>
      </c>
      <c r="AG17" s="71" t="s">
        <v>77</v>
      </c>
    </row>
    <row r="18" spans="1:33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4"/>
      <c r="L18" s="72">
        <v>787500</v>
      </c>
      <c r="M18" s="72">
        <v>468750</v>
      </c>
      <c r="N18" s="72">
        <v>618750</v>
      </c>
      <c r="O18" s="72"/>
      <c r="P18" s="72"/>
      <c r="Q18" s="72"/>
      <c r="R18" s="72"/>
      <c r="S18" s="72">
        <f>481250+481250+481250-187500</f>
        <v>1256250</v>
      </c>
      <c r="T18" s="72">
        <f>618750</f>
        <v>618750</v>
      </c>
      <c r="U18" s="72"/>
      <c r="V18" s="72"/>
      <c r="W18" s="72">
        <f t="shared" si="8"/>
        <v>0</v>
      </c>
      <c r="X18" s="72">
        <f t="shared" si="9"/>
        <v>0</v>
      </c>
      <c r="Y18" s="72">
        <f t="shared" si="10"/>
        <v>226125</v>
      </c>
      <c r="Z18" s="72">
        <f t="shared" si="5"/>
        <v>111375</v>
      </c>
      <c r="AA18" s="72">
        <f t="shared" si="6"/>
        <v>0</v>
      </c>
      <c r="AB18" s="72">
        <f t="shared" si="1"/>
        <v>0</v>
      </c>
      <c r="AC18" s="72">
        <f>9204+41690+22452</f>
        <v>73346</v>
      </c>
      <c r="AD18" s="75">
        <f t="shared" si="2"/>
        <v>4160846</v>
      </c>
      <c r="AE18" s="72">
        <f t="shared" si="3"/>
        <v>0</v>
      </c>
      <c r="AF18" s="76">
        <f t="shared" si="4"/>
        <v>0</v>
      </c>
      <c r="AG18" s="71" t="s">
        <v>75</v>
      </c>
    </row>
    <row r="19" spans="1:33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1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4"/>
      <c r="L19" s="72">
        <v>1850000</v>
      </c>
      <c r="M19" s="72">
        <v>-612500</v>
      </c>
      <c r="N19" s="72">
        <v>0</v>
      </c>
      <c r="O19" s="72"/>
      <c r="P19" s="72"/>
      <c r="Q19" s="72">
        <v>1106000</v>
      </c>
      <c r="R19" s="72">
        <f>53437+78063</f>
        <v>131500</v>
      </c>
      <c r="S19" s="72">
        <v>0</v>
      </c>
      <c r="T19" s="72"/>
      <c r="U19" s="72"/>
      <c r="V19" s="72"/>
      <c r="W19" s="72">
        <f t="shared" si="8"/>
        <v>199080</v>
      </c>
      <c r="X19" s="72">
        <f t="shared" si="9"/>
        <v>23670</v>
      </c>
      <c r="Y19" s="72">
        <f t="shared" si="10"/>
        <v>0</v>
      </c>
      <c r="Z19" s="72">
        <v>0</v>
      </c>
      <c r="AA19" s="72">
        <f t="shared" ref="AA19:AA57" si="12">U19*18%</f>
        <v>0</v>
      </c>
      <c r="AB19" s="72">
        <f t="shared" si="1"/>
        <v>0</v>
      </c>
      <c r="AC19" s="72">
        <v>9204</v>
      </c>
      <c r="AD19" s="75">
        <f t="shared" si="2"/>
        <v>3994460</v>
      </c>
      <c r="AE19" s="72">
        <f t="shared" si="3"/>
        <v>1287506</v>
      </c>
      <c r="AF19" s="76">
        <f t="shared" si="4"/>
        <v>-62506</v>
      </c>
      <c r="AG19" s="71"/>
    </row>
    <row r="20" spans="1:33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4"/>
      <c r="L20" s="72">
        <v>1850000</v>
      </c>
      <c r="M20" s="72">
        <v>-612500</v>
      </c>
      <c r="N20" s="72"/>
      <c r="O20" s="72">
        <v>612500</v>
      </c>
      <c r="P20" s="72"/>
      <c r="Q20" s="72">
        <f>1106000-281000</f>
        <v>825000</v>
      </c>
      <c r="R20" s="72">
        <f>412500</f>
        <v>412500</v>
      </c>
      <c r="S20" s="72">
        <v>0</v>
      </c>
      <c r="T20" s="72"/>
      <c r="U20" s="70">
        <f>12240+612500</f>
        <v>624740</v>
      </c>
      <c r="V20" s="70"/>
      <c r="W20" s="72">
        <f t="shared" si="8"/>
        <v>148500</v>
      </c>
      <c r="X20" s="72">
        <f t="shared" si="9"/>
        <v>74250</v>
      </c>
      <c r="Y20" s="72">
        <f t="shared" si="10"/>
        <v>0</v>
      </c>
      <c r="Z20" s="72">
        <f t="shared" ref="Z20:Z58" si="13">T20*18%</f>
        <v>0</v>
      </c>
      <c r="AA20" s="72">
        <f t="shared" si="12"/>
        <v>112453.2</v>
      </c>
      <c r="AB20" s="72">
        <f t="shared" si="1"/>
        <v>0</v>
      </c>
      <c r="AC20" s="72">
        <v>84998</v>
      </c>
      <c r="AD20" s="75">
        <f t="shared" si="2"/>
        <v>4132080</v>
      </c>
      <c r="AE20" s="72">
        <f t="shared" si="3"/>
        <v>-361.19999999999709</v>
      </c>
      <c r="AF20" s="76">
        <f t="shared" si="4"/>
        <v>-11878.800000000003</v>
      </c>
      <c r="AG20" s="71"/>
    </row>
    <row r="21" spans="1:33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4"/>
      <c r="L21" s="72"/>
      <c r="M21" s="72">
        <v>1350000</v>
      </c>
      <c r="N21" s="72"/>
      <c r="O21" s="72"/>
      <c r="P21" s="72"/>
      <c r="Q21" s="72"/>
      <c r="R21" s="72">
        <f>543750-93750</f>
        <v>450000</v>
      </c>
      <c r="S21" s="72">
        <f>450000+450000</f>
        <v>900000</v>
      </c>
      <c r="T21" s="72"/>
      <c r="U21" s="72"/>
      <c r="V21" s="72"/>
      <c r="W21" s="72">
        <f t="shared" si="8"/>
        <v>0</v>
      </c>
      <c r="X21" s="72">
        <f t="shared" si="9"/>
        <v>81000</v>
      </c>
      <c r="Y21" s="72">
        <f t="shared" si="10"/>
        <v>162000</v>
      </c>
      <c r="Z21" s="72">
        <f t="shared" si="13"/>
        <v>0</v>
      </c>
      <c r="AA21" s="72">
        <f t="shared" si="12"/>
        <v>0</v>
      </c>
      <c r="AB21" s="72">
        <f t="shared" si="1"/>
        <v>0</v>
      </c>
      <c r="AC21" s="72">
        <v>0</v>
      </c>
      <c r="AD21" s="75">
        <f t="shared" si="2"/>
        <v>4007500</v>
      </c>
      <c r="AE21" s="72">
        <f t="shared" si="3"/>
        <v>1064500</v>
      </c>
      <c r="AF21" s="76">
        <f t="shared" si="4"/>
        <v>235500</v>
      </c>
      <c r="AG21" s="71"/>
    </row>
    <row r="22" spans="1:33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4"/>
      <c r="L22" s="72"/>
      <c r="M22" s="72">
        <v>1256250</v>
      </c>
      <c r="N22" s="72"/>
      <c r="O22" s="72"/>
      <c r="P22" s="72">
        <v>418750</v>
      </c>
      <c r="Q22" s="72"/>
      <c r="R22" s="72">
        <f>418750</f>
        <v>418750</v>
      </c>
      <c r="S22" s="72">
        <f>418750+418750</f>
        <v>837500</v>
      </c>
      <c r="T22" s="72"/>
      <c r="U22" s="72"/>
      <c r="V22" s="72">
        <v>418750</v>
      </c>
      <c r="W22" s="72">
        <f t="shared" si="8"/>
        <v>0</v>
      </c>
      <c r="X22" s="72">
        <f t="shared" si="9"/>
        <v>75375</v>
      </c>
      <c r="Y22" s="72">
        <f t="shared" si="10"/>
        <v>150750</v>
      </c>
      <c r="Z22" s="72">
        <f t="shared" si="13"/>
        <v>0</v>
      </c>
      <c r="AA22" s="72">
        <f t="shared" si="12"/>
        <v>0</v>
      </c>
      <c r="AB22" s="72">
        <f t="shared" si="1"/>
        <v>75375</v>
      </c>
      <c r="AC22" s="72">
        <v>0</v>
      </c>
      <c r="AD22" s="75">
        <f t="shared" si="2"/>
        <v>3750000</v>
      </c>
      <c r="AE22" s="72">
        <f t="shared" si="3"/>
        <v>936000</v>
      </c>
      <c r="AF22" s="76">
        <f t="shared" si="4"/>
        <v>301500</v>
      </c>
      <c r="AG22" s="71"/>
    </row>
    <row r="23" spans="1:33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4"/>
      <c r="L23" s="72">
        <v>0</v>
      </c>
      <c r="M23" s="72">
        <v>1386000</v>
      </c>
      <c r="N23" s="72">
        <v>693000</v>
      </c>
      <c r="O23" s="72"/>
      <c r="P23" s="72">
        <v>693000</v>
      </c>
      <c r="Q23" s="72"/>
      <c r="R23" s="72"/>
      <c r="S23" s="72">
        <v>1386000</v>
      </c>
      <c r="T23" s="72">
        <v>693000</v>
      </c>
      <c r="U23" s="72"/>
      <c r="V23" s="72">
        <v>693000</v>
      </c>
      <c r="W23" s="72">
        <f t="shared" si="8"/>
        <v>0</v>
      </c>
      <c r="X23" s="72">
        <f t="shared" si="9"/>
        <v>0</v>
      </c>
      <c r="Y23" s="72">
        <f t="shared" si="10"/>
        <v>249480</v>
      </c>
      <c r="Z23" s="72">
        <f t="shared" si="13"/>
        <v>124740</v>
      </c>
      <c r="AA23" s="72">
        <f t="shared" si="12"/>
        <v>0</v>
      </c>
      <c r="AB23" s="72">
        <f t="shared" si="1"/>
        <v>124740</v>
      </c>
      <c r="AC23" s="72">
        <v>0</v>
      </c>
      <c r="AD23" s="75">
        <f t="shared" si="2"/>
        <v>6725000</v>
      </c>
      <c r="AE23" s="72">
        <f t="shared" si="3"/>
        <v>2068040</v>
      </c>
      <c r="AF23" s="76">
        <f t="shared" si="4"/>
        <v>-282040</v>
      </c>
      <c r="AG23" s="71"/>
    </row>
    <row r="24" spans="1:33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4"/>
      <c r="L24" s="72">
        <v>225000</v>
      </c>
      <c r="M24" s="72">
        <v>1122750</v>
      </c>
      <c r="N24" s="72">
        <v>649250</v>
      </c>
      <c r="O24" s="72"/>
      <c r="P24" s="72"/>
      <c r="Q24" s="72"/>
      <c r="R24" s="72">
        <f>449250+449250+449250</f>
        <v>1347750</v>
      </c>
      <c r="S24" s="72">
        <v>0</v>
      </c>
      <c r="T24" s="72">
        <v>649250</v>
      </c>
      <c r="U24" s="72"/>
      <c r="V24" s="72"/>
      <c r="W24" s="72">
        <f t="shared" si="8"/>
        <v>0</v>
      </c>
      <c r="X24" s="72">
        <f t="shared" si="9"/>
        <v>242595</v>
      </c>
      <c r="Y24" s="72">
        <f t="shared" si="10"/>
        <v>0</v>
      </c>
      <c r="Z24" s="72">
        <f t="shared" si="13"/>
        <v>116865</v>
      </c>
      <c r="AA24" s="72">
        <f t="shared" si="12"/>
        <v>0</v>
      </c>
      <c r="AB24" s="72">
        <f t="shared" si="1"/>
        <v>0</v>
      </c>
      <c r="AC24" s="72">
        <f>9204+390+30050-25455</f>
        <v>14189</v>
      </c>
      <c r="AD24" s="75">
        <f t="shared" si="2"/>
        <v>4367649</v>
      </c>
      <c r="AE24" s="72">
        <f t="shared" si="3"/>
        <v>0</v>
      </c>
      <c r="AF24" s="76">
        <f t="shared" si="4"/>
        <v>0</v>
      </c>
      <c r="AG24" s="71" t="s">
        <v>75</v>
      </c>
    </row>
    <row r="25" spans="1:33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4"/>
      <c r="L25" s="72"/>
      <c r="M25" s="72"/>
      <c r="N25" s="72">
        <v>1400000</v>
      </c>
      <c r="O25" s="72">
        <v>700000</v>
      </c>
      <c r="P25" s="72"/>
      <c r="Q25" s="72"/>
      <c r="R25" s="72"/>
      <c r="S25" s="72"/>
      <c r="T25" s="72">
        <v>1400000</v>
      </c>
      <c r="U25" s="72">
        <v>700000</v>
      </c>
      <c r="V25" s="72"/>
      <c r="W25" s="72"/>
      <c r="X25" s="72"/>
      <c r="Y25" s="72"/>
      <c r="Z25" s="72">
        <f t="shared" si="13"/>
        <v>252000</v>
      </c>
      <c r="AA25" s="72">
        <f t="shared" si="12"/>
        <v>126000</v>
      </c>
      <c r="AB25" s="72">
        <f t="shared" si="1"/>
        <v>0</v>
      </c>
      <c r="AC25" s="72">
        <v>0</v>
      </c>
      <c r="AD25" s="75">
        <f t="shared" si="2"/>
        <v>6045000</v>
      </c>
      <c r="AE25" s="72">
        <f t="shared" si="3"/>
        <v>1467000</v>
      </c>
      <c r="AF25" s="76">
        <f t="shared" si="4"/>
        <v>333000</v>
      </c>
      <c r="AG25" s="71"/>
    </row>
    <row r="26" spans="1:33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4"/>
      <c r="L26" s="72">
        <v>0</v>
      </c>
      <c r="M26" s="72">
        <v>1025000</v>
      </c>
      <c r="N26" s="72"/>
      <c r="O26" s="72">
        <f>512500+512500</f>
        <v>1025000</v>
      </c>
      <c r="P26" s="72"/>
      <c r="Q26" s="72"/>
      <c r="R26" s="72"/>
      <c r="S26" s="72">
        <v>1025000</v>
      </c>
      <c r="T26" s="72"/>
      <c r="U26" s="72">
        <f>512500+512500</f>
        <v>1025000</v>
      </c>
      <c r="V26" s="72"/>
      <c r="W26" s="72">
        <f t="shared" ref="W26:Y27" si="14">Q26*18%</f>
        <v>0</v>
      </c>
      <c r="X26" s="72">
        <f t="shared" si="14"/>
        <v>0</v>
      </c>
      <c r="Y26" s="72">
        <f t="shared" si="14"/>
        <v>184500</v>
      </c>
      <c r="Z26" s="72">
        <f t="shared" si="13"/>
        <v>0</v>
      </c>
      <c r="AA26" s="72">
        <f t="shared" si="12"/>
        <v>184500</v>
      </c>
      <c r="AB26" s="72">
        <f t="shared" si="1"/>
        <v>0</v>
      </c>
      <c r="AC26" s="72">
        <v>0</v>
      </c>
      <c r="AD26" s="75">
        <f t="shared" si="2"/>
        <v>4500000</v>
      </c>
      <c r="AE26" s="72">
        <f t="shared" si="3"/>
        <v>31000</v>
      </c>
      <c r="AF26" s="76">
        <f t="shared" si="4"/>
        <v>369000</v>
      </c>
      <c r="AG26" s="71"/>
    </row>
    <row r="27" spans="1:33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4"/>
      <c r="L27" s="72">
        <v>0</v>
      </c>
      <c r="M27" s="72">
        <v>700000</v>
      </c>
      <c r="N27" s="72">
        <v>700000</v>
      </c>
      <c r="O27" s="72">
        <f>700000+900000</f>
        <v>1600000</v>
      </c>
      <c r="P27" s="72"/>
      <c r="Q27" s="72"/>
      <c r="R27" s="72"/>
      <c r="S27" s="72">
        <v>700000</v>
      </c>
      <c r="T27" s="72">
        <v>700000</v>
      </c>
      <c r="U27" s="72">
        <f>700000+900000</f>
        <v>1600000</v>
      </c>
      <c r="V27" s="72"/>
      <c r="W27" s="72">
        <f t="shared" si="14"/>
        <v>0</v>
      </c>
      <c r="X27" s="72">
        <f t="shared" si="14"/>
        <v>0</v>
      </c>
      <c r="Y27" s="72">
        <f t="shared" si="14"/>
        <v>126000</v>
      </c>
      <c r="Z27" s="72">
        <f t="shared" si="13"/>
        <v>126000</v>
      </c>
      <c r="AA27" s="72">
        <f t="shared" si="12"/>
        <v>288000</v>
      </c>
      <c r="AB27" s="72">
        <f t="shared" si="1"/>
        <v>0</v>
      </c>
      <c r="AC27" s="72">
        <v>0</v>
      </c>
      <c r="AD27" s="75">
        <f t="shared" si="2"/>
        <v>6045000</v>
      </c>
      <c r="AE27" s="72">
        <f t="shared" si="3"/>
        <v>-495000</v>
      </c>
      <c r="AF27" s="76">
        <f t="shared" si="4"/>
        <v>495000</v>
      </c>
      <c r="AG27" s="71"/>
    </row>
    <row r="28" spans="1:33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4"/>
      <c r="L28" s="72"/>
      <c r="M28" s="72"/>
      <c r="N28" s="72">
        <v>0</v>
      </c>
      <c r="O28" s="72"/>
      <c r="P28" s="72"/>
      <c r="Q28" s="72">
        <v>0</v>
      </c>
      <c r="R28" s="72"/>
      <c r="S28" s="72">
        <v>0</v>
      </c>
      <c r="T28" s="72">
        <v>0</v>
      </c>
      <c r="U28" s="72"/>
      <c r="V28" s="72"/>
      <c r="W28" s="72"/>
      <c r="X28" s="72"/>
      <c r="Y28" s="72">
        <f t="shared" ref="Y28:Y48" si="15">S28*18%</f>
        <v>0</v>
      </c>
      <c r="Z28" s="72">
        <f t="shared" si="13"/>
        <v>0</v>
      </c>
      <c r="AA28" s="72">
        <f t="shared" si="12"/>
        <v>0</v>
      </c>
      <c r="AB28" s="72">
        <f t="shared" si="1"/>
        <v>0</v>
      </c>
      <c r="AC28" s="72">
        <f>59300+1940000</f>
        <v>1999300</v>
      </c>
      <c r="AD28" s="75">
        <f t="shared" si="2"/>
        <v>1999300</v>
      </c>
      <c r="AE28" s="72">
        <f t="shared" si="3"/>
        <v>0</v>
      </c>
      <c r="AF28" s="76">
        <f t="shared" si="4"/>
        <v>8100000</v>
      </c>
      <c r="AG28" s="71" t="s">
        <v>83</v>
      </c>
    </row>
    <row r="29" spans="1:33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4"/>
      <c r="L29" s="72">
        <v>0</v>
      </c>
      <c r="M29" s="72">
        <v>1100000</v>
      </c>
      <c r="N29" s="72">
        <v>550000</v>
      </c>
      <c r="O29" s="72"/>
      <c r="P29" s="72"/>
      <c r="Q29" s="72">
        <v>0</v>
      </c>
      <c r="R29" s="72">
        <v>0</v>
      </c>
      <c r="S29" s="72">
        <f>1475000-375000</f>
        <v>1100000</v>
      </c>
      <c r="T29" s="72">
        <v>550000</v>
      </c>
      <c r="U29" s="72"/>
      <c r="V29" s="72"/>
      <c r="W29" s="72">
        <f t="shared" ref="W29:W47" si="16">Q29*18%</f>
        <v>0</v>
      </c>
      <c r="X29" s="72">
        <f t="shared" ref="X29:X47" si="17">R29*18%</f>
        <v>0</v>
      </c>
      <c r="Y29" s="72">
        <f t="shared" si="15"/>
        <v>198000</v>
      </c>
      <c r="Z29" s="72">
        <f t="shared" si="13"/>
        <v>99000</v>
      </c>
      <c r="AA29" s="72">
        <f t="shared" si="12"/>
        <v>0</v>
      </c>
      <c r="AB29" s="72">
        <f t="shared" si="1"/>
        <v>0</v>
      </c>
      <c r="AC29" s="72">
        <v>9204</v>
      </c>
      <c r="AD29" s="75">
        <f t="shared" si="2"/>
        <v>4050000</v>
      </c>
      <c r="AE29" s="72">
        <f t="shared" si="3"/>
        <v>443796</v>
      </c>
      <c r="AF29" s="76">
        <f t="shared" si="4"/>
        <v>1056204</v>
      </c>
      <c r="AG29" s="71"/>
    </row>
    <row r="30" spans="1:33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4"/>
      <c r="L30" s="72">
        <v>1555500</v>
      </c>
      <c r="M30" s="72">
        <v>-355500</v>
      </c>
      <c r="N30" s="72"/>
      <c r="O30" s="72"/>
      <c r="P30" s="72">
        <v>400000</v>
      </c>
      <c r="Q30" s="72"/>
      <c r="R30" s="72">
        <f>1073000+127000</f>
        <v>1200000</v>
      </c>
      <c r="S30" s="72">
        <v>0</v>
      </c>
      <c r="T30" s="72"/>
      <c r="U30" s="72"/>
      <c r="V30" s="72">
        <v>400000</v>
      </c>
      <c r="W30" s="72">
        <f t="shared" si="16"/>
        <v>0</v>
      </c>
      <c r="X30" s="72">
        <f t="shared" si="17"/>
        <v>216000</v>
      </c>
      <c r="Y30" s="72">
        <f t="shared" si="15"/>
        <v>0</v>
      </c>
      <c r="Z30" s="72">
        <f t="shared" si="13"/>
        <v>0</v>
      </c>
      <c r="AA30" s="72">
        <f t="shared" si="12"/>
        <v>0</v>
      </c>
      <c r="AB30" s="72">
        <f t="shared" si="1"/>
        <v>72000</v>
      </c>
      <c r="AC30" s="72">
        <v>135228</v>
      </c>
      <c r="AD30" s="75">
        <f t="shared" si="2"/>
        <v>4000000</v>
      </c>
      <c r="AE30" s="72">
        <f t="shared" si="3"/>
        <v>1176772</v>
      </c>
      <c r="AF30" s="76">
        <f t="shared" si="4"/>
        <v>23228</v>
      </c>
      <c r="AG30" s="71"/>
    </row>
    <row r="31" spans="1:33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4"/>
      <c r="L31" s="72">
        <v>0</v>
      </c>
      <c r="M31" s="72">
        <v>1025000</v>
      </c>
      <c r="N31" s="72">
        <v>512500</v>
      </c>
      <c r="O31" s="72">
        <v>512500</v>
      </c>
      <c r="P31" s="72"/>
      <c r="Q31" s="72"/>
      <c r="R31" s="72"/>
      <c r="S31" s="72">
        <v>1025000</v>
      </c>
      <c r="T31" s="72">
        <v>512500</v>
      </c>
      <c r="U31" s="72">
        <v>512500</v>
      </c>
      <c r="V31" s="72"/>
      <c r="W31" s="72">
        <f t="shared" si="16"/>
        <v>0</v>
      </c>
      <c r="X31" s="72">
        <f t="shared" si="17"/>
        <v>0</v>
      </c>
      <c r="Y31" s="72">
        <f t="shared" si="15"/>
        <v>184500</v>
      </c>
      <c r="Z31" s="72">
        <f t="shared" si="13"/>
        <v>92250</v>
      </c>
      <c r="AA31" s="72">
        <f t="shared" si="12"/>
        <v>92250</v>
      </c>
      <c r="AB31" s="72">
        <f t="shared" si="1"/>
        <v>0</v>
      </c>
      <c r="AC31" s="72">
        <v>0</v>
      </c>
      <c r="AD31" s="75">
        <f t="shared" si="2"/>
        <v>6045000</v>
      </c>
      <c r="AE31" s="72">
        <f t="shared" si="3"/>
        <v>1576000</v>
      </c>
      <c r="AF31" s="76">
        <f t="shared" si="4"/>
        <v>-1176000</v>
      </c>
      <c r="AG31" s="71"/>
    </row>
    <row r="32" spans="1:33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4"/>
      <c r="L32" s="72">
        <v>0</v>
      </c>
      <c r="M32" s="72">
        <v>700000</v>
      </c>
      <c r="N32" s="72">
        <v>700000</v>
      </c>
      <c r="O32" s="72">
        <v>1400000</v>
      </c>
      <c r="P32" s="72"/>
      <c r="Q32" s="72"/>
      <c r="R32" s="72"/>
      <c r="S32" s="72">
        <v>700000</v>
      </c>
      <c r="T32" s="72">
        <v>700000</v>
      </c>
      <c r="U32" s="72">
        <v>1400000</v>
      </c>
      <c r="V32" s="72"/>
      <c r="W32" s="72">
        <f t="shared" si="16"/>
        <v>0</v>
      </c>
      <c r="X32" s="72">
        <f t="shared" si="17"/>
        <v>0</v>
      </c>
      <c r="Y32" s="72">
        <f t="shared" si="15"/>
        <v>126000</v>
      </c>
      <c r="Z32" s="72">
        <f t="shared" si="13"/>
        <v>126000</v>
      </c>
      <c r="AA32" s="72">
        <f t="shared" si="12"/>
        <v>252000</v>
      </c>
      <c r="AB32" s="72">
        <f t="shared" si="1"/>
        <v>0</v>
      </c>
      <c r="AC32" s="72">
        <v>0</v>
      </c>
      <c r="AD32" s="75">
        <f t="shared" si="2"/>
        <v>6045000</v>
      </c>
      <c r="AE32" s="72">
        <f t="shared" si="3"/>
        <v>-59000</v>
      </c>
      <c r="AF32" s="76">
        <f t="shared" si="4"/>
        <v>459000</v>
      </c>
      <c r="AG32" s="71"/>
    </row>
    <row r="33" spans="1:33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4"/>
      <c r="L33" s="72">
        <v>0</v>
      </c>
      <c r="M33" s="72">
        <v>700000</v>
      </c>
      <c r="N33" s="72">
        <v>700000</v>
      </c>
      <c r="O33" s="72">
        <v>1400000</v>
      </c>
      <c r="P33" s="72"/>
      <c r="Q33" s="72"/>
      <c r="R33" s="72"/>
      <c r="S33" s="72">
        <v>700000</v>
      </c>
      <c r="T33" s="72">
        <v>700000</v>
      </c>
      <c r="U33" s="72">
        <v>1400000</v>
      </c>
      <c r="V33" s="72"/>
      <c r="W33" s="72">
        <f t="shared" si="16"/>
        <v>0</v>
      </c>
      <c r="X33" s="72">
        <f t="shared" si="17"/>
        <v>0</v>
      </c>
      <c r="Y33" s="72">
        <f t="shared" si="15"/>
        <v>126000</v>
      </c>
      <c r="Z33" s="72">
        <f t="shared" si="13"/>
        <v>126000</v>
      </c>
      <c r="AA33" s="72">
        <f t="shared" si="12"/>
        <v>252000</v>
      </c>
      <c r="AB33" s="72">
        <f t="shared" si="1"/>
        <v>0</v>
      </c>
      <c r="AC33" s="72">
        <v>0</v>
      </c>
      <c r="AD33" s="75">
        <f t="shared" si="2"/>
        <v>4500000</v>
      </c>
      <c r="AE33" s="72">
        <f t="shared" si="3"/>
        <v>-1604000</v>
      </c>
      <c r="AF33" s="76">
        <f t="shared" si="4"/>
        <v>504000</v>
      </c>
      <c r="AG33" s="71"/>
    </row>
    <row r="34" spans="1:33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4"/>
      <c r="L34" s="72">
        <v>0</v>
      </c>
      <c r="M34" s="72">
        <v>1025000</v>
      </c>
      <c r="N34" s="72">
        <v>1025000</v>
      </c>
      <c r="O34" s="72"/>
      <c r="P34" s="72"/>
      <c r="Q34" s="72"/>
      <c r="R34" s="72"/>
      <c r="S34" s="72">
        <v>1025000</v>
      </c>
      <c r="T34" s="72">
        <v>1025000</v>
      </c>
      <c r="U34" s="72"/>
      <c r="V34" s="72"/>
      <c r="W34" s="72">
        <f t="shared" si="16"/>
        <v>0</v>
      </c>
      <c r="X34" s="72">
        <f t="shared" si="17"/>
        <v>0</v>
      </c>
      <c r="Y34" s="72">
        <f t="shared" si="15"/>
        <v>184500</v>
      </c>
      <c r="Z34" s="72">
        <f t="shared" si="13"/>
        <v>184500</v>
      </c>
      <c r="AA34" s="72">
        <f t="shared" si="12"/>
        <v>0</v>
      </c>
      <c r="AB34" s="72">
        <f t="shared" si="1"/>
        <v>0</v>
      </c>
      <c r="AC34" s="72">
        <v>0</v>
      </c>
      <c r="AD34" s="75">
        <f t="shared" si="2"/>
        <v>4700000</v>
      </c>
      <c r="AE34" s="72">
        <f t="shared" si="3"/>
        <v>231000</v>
      </c>
      <c r="AF34" s="76">
        <f t="shared" si="4"/>
        <v>169000</v>
      </c>
      <c r="AG34" s="71"/>
    </row>
    <row r="35" spans="1:33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4">
        <v>1788468</v>
      </c>
      <c r="L35" s="72"/>
      <c r="M35" s="72">
        <v>1350000</v>
      </c>
      <c r="N35" s="72">
        <v>675000</v>
      </c>
      <c r="P35" s="72">
        <v>875000</v>
      </c>
      <c r="Q35" s="72"/>
      <c r="R35" s="72"/>
      <c r="S35" s="72">
        <f>675000+675000</f>
        <v>1350000</v>
      </c>
      <c r="T35" s="72">
        <v>675000</v>
      </c>
      <c r="U35" s="72">
        <f>675000+200000</f>
        <v>875000</v>
      </c>
      <c r="V35" s="72">
        <v>900920</v>
      </c>
      <c r="W35" s="72">
        <f t="shared" si="16"/>
        <v>0</v>
      </c>
      <c r="X35" s="72">
        <f t="shared" si="17"/>
        <v>0</v>
      </c>
      <c r="Y35" s="72">
        <f t="shared" si="15"/>
        <v>243000</v>
      </c>
      <c r="Z35" s="72">
        <f t="shared" si="13"/>
        <v>121500</v>
      </c>
      <c r="AA35" s="72">
        <f t="shared" si="12"/>
        <v>157500</v>
      </c>
      <c r="AB35" s="72">
        <f t="shared" si="1"/>
        <v>162165.6</v>
      </c>
      <c r="AC35" s="72">
        <f>241360-390-9558-51110</f>
        <v>180302</v>
      </c>
      <c r="AD35" s="75">
        <f t="shared" si="2"/>
        <v>6664468</v>
      </c>
      <c r="AE35" s="72">
        <f>AD35-L35-Q35-R35-AC35-W35-X35-S35-Y35-M35-T35-Z35-N35-P35-U35-AA35-AB35</f>
        <v>0.39999999999417923</v>
      </c>
      <c r="AF35" s="76">
        <f t="shared" si="4"/>
        <v>-0.39999999999417923</v>
      </c>
      <c r="AG35" s="71"/>
    </row>
    <row r="36" spans="1:33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4"/>
      <c r="L36" s="72"/>
      <c r="M36" s="72">
        <v>950000</v>
      </c>
      <c r="N36" s="72">
        <v>475000</v>
      </c>
      <c r="O36" s="72"/>
      <c r="P36" s="72"/>
      <c r="Q36" s="72"/>
      <c r="R36" s="72"/>
      <c r="S36" s="72">
        <v>950000</v>
      </c>
      <c r="T36" s="72">
        <v>475000</v>
      </c>
      <c r="U36" s="72"/>
      <c r="V36" s="72"/>
      <c r="W36" s="72">
        <f t="shared" si="16"/>
        <v>0</v>
      </c>
      <c r="X36" s="72">
        <f t="shared" si="17"/>
        <v>0</v>
      </c>
      <c r="Y36" s="72">
        <f t="shared" si="15"/>
        <v>171000</v>
      </c>
      <c r="Z36" s="72">
        <f t="shared" si="13"/>
        <v>85500</v>
      </c>
      <c r="AA36" s="72">
        <f t="shared" si="12"/>
        <v>0</v>
      </c>
      <c r="AB36" s="72">
        <f t="shared" si="1"/>
        <v>0</v>
      </c>
      <c r="AC36" s="72">
        <f>147024+9204</f>
        <v>156228</v>
      </c>
      <c r="AD36" s="75">
        <f t="shared" si="2"/>
        <v>3636228</v>
      </c>
      <c r="AE36" s="72">
        <f t="shared" si="3"/>
        <v>373500</v>
      </c>
      <c r="AF36" s="76">
        <f t="shared" si="4"/>
        <v>976500</v>
      </c>
      <c r="AG36" s="71"/>
    </row>
    <row r="37" spans="1:33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4"/>
      <c r="L37" s="72">
        <v>1596000</v>
      </c>
      <c r="M37" s="72"/>
      <c r="N37" s="72"/>
      <c r="O37" s="72">
        <v>612500</v>
      </c>
      <c r="P37" s="72"/>
      <c r="Q37" s="72"/>
      <c r="R37" s="72">
        <v>1262500</v>
      </c>
      <c r="S37" s="72">
        <v>0</v>
      </c>
      <c r="T37" s="72"/>
      <c r="U37" s="72">
        <v>624740</v>
      </c>
      <c r="V37" s="72"/>
      <c r="W37" s="72">
        <f t="shared" si="16"/>
        <v>0</v>
      </c>
      <c r="X37" s="72">
        <f t="shared" si="17"/>
        <v>227250</v>
      </c>
      <c r="Y37" s="72">
        <f t="shared" si="15"/>
        <v>0</v>
      </c>
      <c r="Z37" s="72">
        <f t="shared" si="13"/>
        <v>0</v>
      </c>
      <c r="AA37" s="72">
        <f t="shared" si="12"/>
        <v>112453.2</v>
      </c>
      <c r="AB37" s="72">
        <f t="shared" si="1"/>
        <v>0</v>
      </c>
      <c r="AC37" s="72">
        <f>27715.8+65605</f>
        <v>93320.8</v>
      </c>
      <c r="AD37" s="75">
        <f t="shared" si="2"/>
        <v>4525223.8</v>
      </c>
      <c r="AE37" s="72">
        <f t="shared" si="3"/>
        <v>-3540.2000000002299</v>
      </c>
      <c r="AF37" s="76">
        <f t="shared" si="4"/>
        <v>-392199.8</v>
      </c>
      <c r="AG37" s="71"/>
    </row>
    <row r="38" spans="1:33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4"/>
      <c r="L38" s="72">
        <v>0</v>
      </c>
      <c r="M38" s="72">
        <v>1275000</v>
      </c>
      <c r="N38" s="72">
        <v>637500</v>
      </c>
      <c r="O38" s="72">
        <v>837500</v>
      </c>
      <c r="P38" s="72"/>
      <c r="Q38" s="72"/>
      <c r="R38" s="72">
        <v>0</v>
      </c>
      <c r="S38" s="72">
        <v>1275000</v>
      </c>
      <c r="T38" s="72">
        <v>637500</v>
      </c>
      <c r="U38" s="72">
        <v>861260</v>
      </c>
      <c r="V38" s="72"/>
      <c r="W38" s="72">
        <f t="shared" si="16"/>
        <v>0</v>
      </c>
      <c r="X38" s="72">
        <f t="shared" si="17"/>
        <v>0</v>
      </c>
      <c r="Y38" s="72">
        <f t="shared" si="15"/>
        <v>229500</v>
      </c>
      <c r="Z38" s="72">
        <f t="shared" si="13"/>
        <v>114750</v>
      </c>
      <c r="AA38" s="72">
        <f t="shared" si="12"/>
        <v>155026.79999999999</v>
      </c>
      <c r="AB38" s="72">
        <f t="shared" si="1"/>
        <v>0</v>
      </c>
      <c r="AC38" s="72">
        <f>9204+390</f>
        <v>9594</v>
      </c>
      <c r="AD38" s="75">
        <f t="shared" si="2"/>
        <v>6043506</v>
      </c>
      <c r="AE38" s="72">
        <f t="shared" si="3"/>
        <v>10875.200000000012</v>
      </c>
      <c r="AF38" s="76">
        <f t="shared" si="4"/>
        <v>-34635.200000000012</v>
      </c>
      <c r="AG38" s="71"/>
    </row>
    <row r="39" spans="1:33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4"/>
      <c r="L39" s="72"/>
      <c r="M39" s="72">
        <v>725000</v>
      </c>
      <c r="N39" s="72">
        <v>362500</v>
      </c>
      <c r="O39" s="72">
        <v>562500</v>
      </c>
      <c r="P39" s="72"/>
      <c r="Q39" s="72"/>
      <c r="R39" s="72"/>
      <c r="S39" s="72">
        <f>975000-250000</f>
        <v>725000</v>
      </c>
      <c r="T39" s="72">
        <v>362500</v>
      </c>
      <c r="U39" s="72">
        <v>562500</v>
      </c>
      <c r="V39" s="72"/>
      <c r="W39" s="72">
        <f t="shared" si="16"/>
        <v>0</v>
      </c>
      <c r="X39" s="72">
        <f t="shared" si="17"/>
        <v>0</v>
      </c>
      <c r="Y39" s="72">
        <f t="shared" si="15"/>
        <v>130500</v>
      </c>
      <c r="Z39" s="72">
        <f t="shared" si="13"/>
        <v>65250</v>
      </c>
      <c r="AA39" s="72">
        <f t="shared" si="12"/>
        <v>101250</v>
      </c>
      <c r="AB39" s="72">
        <f t="shared" si="1"/>
        <v>0</v>
      </c>
      <c r="AC39" s="72">
        <f>9204+64769+390</f>
        <v>74363</v>
      </c>
      <c r="AD39" s="75">
        <f t="shared" si="2"/>
        <v>3671650</v>
      </c>
      <c r="AE39" s="72">
        <f t="shared" si="3"/>
        <v>287</v>
      </c>
      <c r="AF39" s="76">
        <f t="shared" si="4"/>
        <v>-287</v>
      </c>
      <c r="AG39" s="71"/>
    </row>
    <row r="40" spans="1:33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4"/>
      <c r="L40" s="72">
        <v>2203000</v>
      </c>
      <c r="M40" s="72"/>
      <c r="N40" s="72"/>
      <c r="O40" s="72">
        <v>612500</v>
      </c>
      <c r="P40" s="72"/>
      <c r="Q40" s="72"/>
      <c r="R40" s="72">
        <v>1802600</v>
      </c>
      <c r="S40" s="72">
        <v>0</v>
      </c>
      <c r="T40" s="72"/>
      <c r="U40" s="72">
        <v>624740</v>
      </c>
      <c r="V40" s="72"/>
      <c r="W40" s="72">
        <f t="shared" si="16"/>
        <v>0</v>
      </c>
      <c r="X40" s="72">
        <f t="shared" si="17"/>
        <v>324468</v>
      </c>
      <c r="Y40" s="72">
        <f t="shared" si="15"/>
        <v>0</v>
      </c>
      <c r="Z40" s="72">
        <f t="shared" si="13"/>
        <v>0</v>
      </c>
      <c r="AA40" s="72">
        <f t="shared" si="12"/>
        <v>112453.2</v>
      </c>
      <c r="AB40" s="72">
        <f t="shared" si="1"/>
        <v>0</v>
      </c>
      <c r="AC40" s="72">
        <v>212292.6</v>
      </c>
      <c r="AD40" s="75">
        <f t="shared" si="2"/>
        <v>5989094</v>
      </c>
      <c r="AE40" s="72">
        <f t="shared" si="3"/>
        <v>97040.19999999991</v>
      </c>
      <c r="AF40" s="76">
        <f t="shared" si="4"/>
        <v>-1639880.2000000004</v>
      </c>
      <c r="AG40" s="71"/>
    </row>
    <row r="41" spans="1:33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4"/>
      <c r="L41" s="72">
        <v>1683480</v>
      </c>
      <c r="M41" s="72"/>
      <c r="N41" s="72">
        <v>639500</v>
      </c>
      <c r="O41" s="72"/>
      <c r="P41" s="72"/>
      <c r="Q41" s="72"/>
      <c r="R41" s="72">
        <v>1318500</v>
      </c>
      <c r="S41" s="72">
        <v>0</v>
      </c>
      <c r="T41" s="72">
        <v>655582</v>
      </c>
      <c r="U41" s="72"/>
      <c r="V41" s="72"/>
      <c r="W41" s="72">
        <f t="shared" si="16"/>
        <v>0</v>
      </c>
      <c r="X41" s="72">
        <f t="shared" si="17"/>
        <v>237330</v>
      </c>
      <c r="Y41" s="72">
        <f t="shared" si="15"/>
        <v>0</v>
      </c>
      <c r="Z41" s="72">
        <f t="shared" si="13"/>
        <v>118004.76</v>
      </c>
      <c r="AA41" s="72">
        <f t="shared" si="12"/>
        <v>0</v>
      </c>
      <c r="AB41" s="72">
        <f t="shared" si="1"/>
        <v>0</v>
      </c>
      <c r="AC41" s="72">
        <f>230720+9204+7890+33800</f>
        <v>281614</v>
      </c>
      <c r="AD41" s="75">
        <f t="shared" si="2"/>
        <v>4934011</v>
      </c>
      <c r="AE41" s="72">
        <f t="shared" si="3"/>
        <v>0.23999999999068677</v>
      </c>
      <c r="AF41" s="76">
        <f t="shared" si="4"/>
        <v>-381062.24</v>
      </c>
      <c r="AG41" s="71" t="s">
        <v>75</v>
      </c>
    </row>
    <row r="42" spans="1:33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4"/>
      <c r="L42" s="72">
        <v>1958000</v>
      </c>
      <c r="M42" s="72">
        <v>-639500</v>
      </c>
      <c r="N42" s="72">
        <v>639500</v>
      </c>
      <c r="O42" s="72"/>
      <c r="P42" s="72"/>
      <c r="Q42" s="72">
        <f>1177280-298280</f>
        <v>879000</v>
      </c>
      <c r="R42" s="72">
        <v>439500</v>
      </c>
      <c r="S42" s="72">
        <v>0</v>
      </c>
      <c r="T42" s="72">
        <v>639500</v>
      </c>
      <c r="U42" s="72"/>
      <c r="V42" s="72"/>
      <c r="W42" s="72">
        <f t="shared" si="16"/>
        <v>158220</v>
      </c>
      <c r="X42" s="72">
        <f t="shared" si="17"/>
        <v>79110</v>
      </c>
      <c r="Y42" s="72">
        <f t="shared" si="15"/>
        <v>0</v>
      </c>
      <c r="Z42" s="72">
        <f t="shared" si="13"/>
        <v>115110</v>
      </c>
      <c r="AA42" s="72">
        <f t="shared" si="12"/>
        <v>0</v>
      </c>
      <c r="AB42" s="72">
        <f t="shared" si="1"/>
        <v>0</v>
      </c>
      <c r="AC42" s="72">
        <f>137084+9204+390+41300+18977+1875</f>
        <v>208830</v>
      </c>
      <c r="AD42" s="75">
        <f t="shared" si="2"/>
        <v>4477269</v>
      </c>
      <c r="AE42" s="72">
        <f t="shared" si="3"/>
        <v>-1</v>
      </c>
      <c r="AF42" s="76">
        <f t="shared" si="4"/>
        <v>1</v>
      </c>
      <c r="AG42" s="71" t="s">
        <v>75</v>
      </c>
    </row>
    <row r="43" spans="1:33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4"/>
      <c r="L43" s="72">
        <v>0</v>
      </c>
      <c r="M43" s="72">
        <v>1881000</v>
      </c>
      <c r="N43" s="72"/>
      <c r="O43" s="72"/>
      <c r="P43" s="72">
        <v>627000</v>
      </c>
      <c r="Q43" s="72"/>
      <c r="R43" s="72">
        <v>1254000</v>
      </c>
      <c r="S43" s="72">
        <v>627000</v>
      </c>
      <c r="T43" s="72"/>
      <c r="U43" s="72"/>
      <c r="V43" s="72">
        <v>627000</v>
      </c>
      <c r="W43" s="72">
        <f t="shared" si="16"/>
        <v>0</v>
      </c>
      <c r="X43" s="72">
        <f t="shared" si="17"/>
        <v>225720</v>
      </c>
      <c r="Y43" s="72">
        <f t="shared" si="15"/>
        <v>112860</v>
      </c>
      <c r="Z43" s="72">
        <f t="shared" si="13"/>
        <v>0</v>
      </c>
      <c r="AA43" s="72">
        <f t="shared" si="12"/>
        <v>0</v>
      </c>
      <c r="AB43" s="72">
        <f t="shared" si="1"/>
        <v>112860</v>
      </c>
      <c r="AC43" s="72">
        <v>9204</v>
      </c>
      <c r="AD43" s="75">
        <f t="shared" si="2"/>
        <v>5432568</v>
      </c>
      <c r="AE43" s="72">
        <f t="shared" si="3"/>
        <v>1209924</v>
      </c>
      <c r="AF43" s="76">
        <f t="shared" si="4"/>
        <v>444076</v>
      </c>
      <c r="AG43" s="71"/>
    </row>
    <row r="44" spans="1:33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4"/>
      <c r="L44" s="72">
        <v>835500</v>
      </c>
      <c r="M44" s="72">
        <v>1099500</v>
      </c>
      <c r="N44" s="72">
        <v>845000</v>
      </c>
      <c r="O44" s="72"/>
      <c r="P44" s="72">
        <v>487500</v>
      </c>
      <c r="Q44" s="72"/>
      <c r="R44" s="72">
        <f>458750+458750</f>
        <v>917500</v>
      </c>
      <c r="S44" s="72">
        <f>458750+558750</f>
        <v>1017500</v>
      </c>
      <c r="T44" s="72">
        <v>845000</v>
      </c>
      <c r="U44" s="72"/>
      <c r="V44" s="72">
        <v>487500</v>
      </c>
      <c r="W44" s="72">
        <f t="shared" si="16"/>
        <v>0</v>
      </c>
      <c r="X44" s="72">
        <f t="shared" si="17"/>
        <v>165150</v>
      </c>
      <c r="Y44" s="72">
        <f t="shared" si="15"/>
        <v>183150</v>
      </c>
      <c r="Z44" s="72">
        <f t="shared" si="13"/>
        <v>152100</v>
      </c>
      <c r="AA44" s="72">
        <f t="shared" si="12"/>
        <v>0</v>
      </c>
      <c r="AB44" s="72">
        <f t="shared" si="1"/>
        <v>87750</v>
      </c>
      <c r="AC44" s="72">
        <f>9204+390+51110-131166-186323</f>
        <v>-256785</v>
      </c>
      <c r="AD44" s="75">
        <f t="shared" si="2"/>
        <v>5990000</v>
      </c>
      <c r="AE44" s="72">
        <f t="shared" si="3"/>
        <v>98635</v>
      </c>
      <c r="AF44" s="76">
        <f t="shared" si="4"/>
        <v>-98635</v>
      </c>
      <c r="AG44" s="71" t="s">
        <v>75</v>
      </c>
    </row>
    <row r="45" spans="1:33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4"/>
      <c r="L45" s="72"/>
      <c r="M45" s="72">
        <v>900000</v>
      </c>
      <c r="N45" s="72">
        <v>450000</v>
      </c>
      <c r="O45" s="72"/>
      <c r="P45" s="72"/>
      <c r="Q45" s="72"/>
      <c r="R45" s="72"/>
      <c r="S45" s="72">
        <v>900000</v>
      </c>
      <c r="T45" s="72">
        <v>450000</v>
      </c>
      <c r="U45" s="72"/>
      <c r="V45" s="72"/>
      <c r="W45" s="72">
        <f t="shared" si="16"/>
        <v>0</v>
      </c>
      <c r="X45" s="72">
        <f t="shared" si="17"/>
        <v>0</v>
      </c>
      <c r="Y45" s="72">
        <f t="shared" si="15"/>
        <v>162000</v>
      </c>
      <c r="Z45" s="72">
        <f t="shared" si="13"/>
        <v>81000</v>
      </c>
      <c r="AA45" s="72">
        <f t="shared" si="12"/>
        <v>0</v>
      </c>
      <c r="AB45" s="72">
        <f t="shared" si="1"/>
        <v>0</v>
      </c>
      <c r="AC45" s="72">
        <v>0</v>
      </c>
      <c r="AD45" s="75">
        <f t="shared" si="2"/>
        <v>3114000</v>
      </c>
      <c r="AE45" s="72">
        <f t="shared" si="3"/>
        <v>171000</v>
      </c>
      <c r="AF45" s="76">
        <f t="shared" si="4"/>
        <v>1129000</v>
      </c>
      <c r="AG45" s="71"/>
    </row>
    <row r="46" spans="1:33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4"/>
      <c r="L46" s="72"/>
      <c r="M46" s="72">
        <v>800000</v>
      </c>
      <c r="N46" s="72">
        <v>400000</v>
      </c>
      <c r="O46" s="72"/>
      <c r="P46" s="72">
        <v>400000</v>
      </c>
      <c r="Q46" s="72"/>
      <c r="R46" s="72"/>
      <c r="S46" s="72">
        <f>1350000-550000</f>
        <v>800000</v>
      </c>
      <c r="T46" s="72">
        <v>400000</v>
      </c>
      <c r="U46" s="72"/>
      <c r="V46" s="72">
        <v>400000</v>
      </c>
      <c r="W46" s="72">
        <f t="shared" si="16"/>
        <v>0</v>
      </c>
      <c r="X46" s="72">
        <f t="shared" si="17"/>
        <v>0</v>
      </c>
      <c r="Y46" s="72">
        <f t="shared" si="15"/>
        <v>144000</v>
      </c>
      <c r="Z46" s="72">
        <f t="shared" si="13"/>
        <v>72000</v>
      </c>
      <c r="AA46" s="72">
        <f t="shared" si="12"/>
        <v>0</v>
      </c>
      <c r="AB46" s="72">
        <f t="shared" si="1"/>
        <v>72000</v>
      </c>
      <c r="AC46" s="72">
        <v>9204</v>
      </c>
      <c r="AD46" s="75">
        <f t="shared" si="2"/>
        <v>3246500</v>
      </c>
      <c r="AE46" s="72">
        <f t="shared" si="3"/>
        <v>549296</v>
      </c>
      <c r="AF46" s="76">
        <f t="shared" si="4"/>
        <v>650704</v>
      </c>
      <c r="AG46" s="71"/>
    </row>
    <row r="47" spans="1:33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>
        <v>295000</v>
      </c>
      <c r="K47" s="74"/>
      <c r="L47" s="72">
        <v>0</v>
      </c>
      <c r="M47" s="72">
        <v>0</v>
      </c>
      <c r="N47" s="72">
        <v>1400000</v>
      </c>
      <c r="O47" s="72">
        <f>700000+700000+200000</f>
        <v>1600000</v>
      </c>
      <c r="P47" s="72"/>
      <c r="Q47" s="72"/>
      <c r="R47" s="72"/>
      <c r="S47" s="72">
        <v>0</v>
      </c>
      <c r="T47" s="72">
        <v>1400000</v>
      </c>
      <c r="U47" s="72">
        <f>700000+700000+200000</f>
        <v>1600000</v>
      </c>
      <c r="V47" s="72"/>
      <c r="W47" s="72">
        <f t="shared" si="16"/>
        <v>0</v>
      </c>
      <c r="X47" s="72">
        <f t="shared" si="17"/>
        <v>0</v>
      </c>
      <c r="Y47" s="72">
        <f t="shared" si="15"/>
        <v>0</v>
      </c>
      <c r="Z47" s="72">
        <f t="shared" si="13"/>
        <v>252000</v>
      </c>
      <c r="AA47" s="72">
        <f t="shared" si="12"/>
        <v>288000</v>
      </c>
      <c r="AB47" s="72">
        <f t="shared" si="1"/>
        <v>0</v>
      </c>
      <c r="AC47" s="72">
        <v>0</v>
      </c>
      <c r="AD47" s="75">
        <f t="shared" si="2"/>
        <v>6540000</v>
      </c>
      <c r="AE47" s="72">
        <f t="shared" si="3"/>
        <v>0</v>
      </c>
      <c r="AF47" s="76">
        <f t="shared" si="4"/>
        <v>0</v>
      </c>
      <c r="AG47" s="71"/>
    </row>
    <row r="48" spans="1:33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4"/>
      <c r="L48" s="72"/>
      <c r="M48" s="72"/>
      <c r="N48" s="72">
        <v>0</v>
      </c>
      <c r="O48" s="72"/>
      <c r="P48" s="72"/>
      <c r="Q48" s="72">
        <v>0</v>
      </c>
      <c r="R48" s="72">
        <v>0</v>
      </c>
      <c r="S48" s="72">
        <v>0</v>
      </c>
      <c r="T48" s="72">
        <v>0</v>
      </c>
      <c r="U48" s="72"/>
      <c r="V48" s="72"/>
      <c r="W48" s="72"/>
      <c r="X48" s="72"/>
      <c r="Y48" s="72">
        <f t="shared" si="15"/>
        <v>0</v>
      </c>
      <c r="Z48" s="72">
        <f t="shared" si="13"/>
        <v>0</v>
      </c>
      <c r="AA48" s="72">
        <f t="shared" si="12"/>
        <v>0</v>
      </c>
      <c r="AB48" s="72">
        <f t="shared" si="1"/>
        <v>0</v>
      </c>
      <c r="AC48" s="72">
        <v>25000</v>
      </c>
      <c r="AD48" s="75">
        <f t="shared" si="2"/>
        <v>25000</v>
      </c>
      <c r="AE48" s="72">
        <f t="shared" si="3"/>
        <v>0</v>
      </c>
      <c r="AF48" s="76">
        <f t="shared" si="4"/>
        <v>7500000</v>
      </c>
      <c r="AG48" s="71"/>
    </row>
    <row r="49" spans="1:33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f>400000+218750</f>
        <v>618750</v>
      </c>
      <c r="K49" s="74"/>
      <c r="L49" s="72"/>
      <c r="M49" s="72"/>
      <c r="N49" s="72"/>
      <c r="O49" s="72">
        <f>887500+887500+887500+887500+200000</f>
        <v>3750000</v>
      </c>
      <c r="P49" s="72"/>
      <c r="Q49" s="72"/>
      <c r="R49" s="72"/>
      <c r="S49" s="72"/>
      <c r="T49" s="72"/>
      <c r="U49" s="72">
        <f>887500+887500+887500+887500+200000</f>
        <v>3750000</v>
      </c>
      <c r="V49" s="72"/>
      <c r="W49" s="72"/>
      <c r="X49" s="72"/>
      <c r="Y49" s="72"/>
      <c r="Z49" s="72">
        <f t="shared" si="13"/>
        <v>0</v>
      </c>
      <c r="AA49" s="72">
        <f t="shared" si="12"/>
        <v>675000</v>
      </c>
      <c r="AB49" s="72">
        <f t="shared" si="1"/>
        <v>0</v>
      </c>
      <c r="AC49" s="72">
        <v>0</v>
      </c>
      <c r="AD49" s="75">
        <f t="shared" si="2"/>
        <v>8175010</v>
      </c>
      <c r="AE49" s="72">
        <f t="shared" si="3"/>
        <v>10</v>
      </c>
      <c r="AF49" s="76">
        <f t="shared" si="4"/>
        <v>-10</v>
      </c>
      <c r="AG49" s="71"/>
    </row>
    <row r="50" spans="1:33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4"/>
      <c r="L50" s="72">
        <v>1596000</v>
      </c>
      <c r="M50" s="72">
        <v>-358500</v>
      </c>
      <c r="N50" s="72">
        <v>612500</v>
      </c>
      <c r="O50" s="72"/>
      <c r="P50" s="72"/>
      <c r="Q50" s="72"/>
      <c r="R50" s="72">
        <f>825000+412500</f>
        <v>1237500</v>
      </c>
      <c r="S50" s="72">
        <v>0</v>
      </c>
      <c r="T50" s="72">
        <f>612500</f>
        <v>612500</v>
      </c>
      <c r="U50" s="72"/>
      <c r="V50" s="72"/>
      <c r="W50" s="72">
        <f t="shared" ref="W50:Y57" si="18">Q50*18%</f>
        <v>0</v>
      </c>
      <c r="X50" s="72">
        <f t="shared" si="18"/>
        <v>222750</v>
      </c>
      <c r="Y50" s="72">
        <f t="shared" si="18"/>
        <v>0</v>
      </c>
      <c r="Z50" s="72">
        <f t="shared" si="13"/>
        <v>110250</v>
      </c>
      <c r="AA50" s="72">
        <f t="shared" si="12"/>
        <v>0</v>
      </c>
      <c r="AB50" s="72">
        <f t="shared" si="1"/>
        <v>0</v>
      </c>
      <c r="AC50" s="72">
        <f>9204+41300+390-37630</f>
        <v>13264</v>
      </c>
      <c r="AD50" s="75">
        <f t="shared" si="2"/>
        <v>4046264</v>
      </c>
      <c r="AE50" s="72">
        <f t="shared" si="3"/>
        <v>0</v>
      </c>
      <c r="AF50" s="76">
        <f t="shared" si="4"/>
        <v>0</v>
      </c>
      <c r="AG50" s="71" t="s">
        <v>75</v>
      </c>
    </row>
    <row r="51" spans="1:33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4"/>
      <c r="L51" s="72">
        <v>225000</v>
      </c>
      <c r="M51" s="72">
        <v>852189</v>
      </c>
      <c r="N51" s="72"/>
      <c r="O51" s="72">
        <v>559061</v>
      </c>
      <c r="P51" s="72"/>
      <c r="Q51" s="72"/>
      <c r="R51" s="72">
        <f>718126+359063</f>
        <v>1077189</v>
      </c>
      <c r="S51" s="72">
        <v>0</v>
      </c>
      <c r="T51" s="72"/>
      <c r="U51" s="72">
        <f>559061+14640</f>
        <v>573701</v>
      </c>
      <c r="V51" s="72"/>
      <c r="W51" s="72">
        <f t="shared" si="18"/>
        <v>0</v>
      </c>
      <c r="X51" s="72">
        <f t="shared" si="18"/>
        <v>193894.02</v>
      </c>
      <c r="Y51" s="72">
        <f t="shared" si="18"/>
        <v>0</v>
      </c>
      <c r="Z51" s="72">
        <f t="shared" si="13"/>
        <v>0</v>
      </c>
      <c r="AA51" s="72">
        <f t="shared" si="12"/>
        <v>103266.18</v>
      </c>
      <c r="AB51" s="72">
        <f t="shared" si="1"/>
        <v>0</v>
      </c>
      <c r="AC51" s="72">
        <f>47315+123817.6</f>
        <v>171132.6</v>
      </c>
      <c r="AD51" s="75">
        <f t="shared" si="2"/>
        <v>3755433</v>
      </c>
      <c r="AE51" s="72">
        <f t="shared" si="3"/>
        <v>0.19999999989522621</v>
      </c>
      <c r="AF51" s="76">
        <f t="shared" si="4"/>
        <v>-14640.199999999895</v>
      </c>
      <c r="AG51" s="71" t="s">
        <v>75</v>
      </c>
    </row>
    <row r="52" spans="1:33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4"/>
      <c r="L52" s="72">
        <v>1850000</v>
      </c>
      <c r="M52" s="72"/>
      <c r="N52" s="72"/>
      <c r="O52" s="72">
        <v>542500</v>
      </c>
      <c r="P52" s="72"/>
      <c r="Q52" s="72">
        <v>2000</v>
      </c>
      <c r="R52" s="72">
        <f>816000+7000+202500</f>
        <v>1025500</v>
      </c>
      <c r="S52" s="72">
        <v>0</v>
      </c>
      <c r="T52" s="72"/>
      <c r="U52" s="72">
        <v>559892</v>
      </c>
      <c r="V52" s="72"/>
      <c r="W52" s="72">
        <f t="shared" si="18"/>
        <v>360</v>
      </c>
      <c r="X52" s="72">
        <f t="shared" si="18"/>
        <v>184590</v>
      </c>
      <c r="Y52" s="72">
        <f t="shared" si="18"/>
        <v>0</v>
      </c>
      <c r="Z52" s="72">
        <f t="shared" si="13"/>
        <v>0</v>
      </c>
      <c r="AA52" s="72">
        <f t="shared" si="12"/>
        <v>100780.56</v>
      </c>
      <c r="AB52" s="72">
        <f t="shared" si="1"/>
        <v>0</v>
      </c>
      <c r="AC52" s="72">
        <f>390+52550+9204</f>
        <v>62144</v>
      </c>
      <c r="AD52" s="75">
        <f t="shared" si="2"/>
        <v>4327767</v>
      </c>
      <c r="AE52" s="72">
        <f t="shared" si="3"/>
        <v>0.44000000000232831</v>
      </c>
      <c r="AF52" s="76">
        <f t="shared" si="4"/>
        <v>-839892.44</v>
      </c>
      <c r="AG52" s="71"/>
    </row>
    <row r="53" spans="1:33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4"/>
      <c r="L53" s="72"/>
      <c r="M53" s="72">
        <v>1386000</v>
      </c>
      <c r="N53" s="72">
        <v>693000</v>
      </c>
      <c r="O53" s="72"/>
      <c r="P53" s="72">
        <v>673000</v>
      </c>
      <c r="Q53" s="72"/>
      <c r="R53" s="72">
        <v>0</v>
      </c>
      <c r="S53" s="72">
        <f>693000+693000</f>
        <v>1386000</v>
      </c>
      <c r="T53" s="72">
        <v>693000</v>
      </c>
      <c r="U53" s="72"/>
      <c r="V53" s="72">
        <v>673000</v>
      </c>
      <c r="W53" s="72">
        <f t="shared" si="18"/>
        <v>0</v>
      </c>
      <c r="X53" s="72">
        <f t="shared" si="18"/>
        <v>0</v>
      </c>
      <c r="Y53" s="72">
        <f t="shared" si="18"/>
        <v>249480</v>
      </c>
      <c r="Z53" s="72">
        <f t="shared" si="13"/>
        <v>124740</v>
      </c>
      <c r="AA53" s="72">
        <f t="shared" si="12"/>
        <v>0</v>
      </c>
      <c r="AB53" s="72">
        <f t="shared" si="1"/>
        <v>121140</v>
      </c>
      <c r="AC53" s="72">
        <v>9204</v>
      </c>
      <c r="AD53" s="75">
        <f t="shared" si="2"/>
        <v>5362744</v>
      </c>
      <c r="AE53" s="72">
        <f t="shared" si="3"/>
        <v>700180</v>
      </c>
      <c r="AF53" s="76">
        <f t="shared" si="4"/>
        <v>1085820</v>
      </c>
      <c r="AG53" s="71"/>
    </row>
    <row r="54" spans="1:33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4"/>
      <c r="L54" s="72"/>
      <c r="M54" s="72">
        <v>1350000</v>
      </c>
      <c r="N54" s="72">
        <v>675000</v>
      </c>
      <c r="O54" s="72"/>
      <c r="P54" s="72">
        <v>675000</v>
      </c>
      <c r="Q54" s="72"/>
      <c r="R54" s="72">
        <v>0</v>
      </c>
      <c r="S54" s="72">
        <f>675000+675000</f>
        <v>1350000</v>
      </c>
      <c r="T54" s="72">
        <v>675000</v>
      </c>
      <c r="U54" s="72"/>
      <c r="V54" s="72">
        <v>675000</v>
      </c>
      <c r="W54" s="72">
        <f t="shared" si="18"/>
        <v>0</v>
      </c>
      <c r="X54" s="72">
        <f t="shared" si="18"/>
        <v>0</v>
      </c>
      <c r="Y54" s="72">
        <f t="shared" si="18"/>
        <v>243000</v>
      </c>
      <c r="Z54" s="72">
        <f t="shared" si="13"/>
        <v>121500</v>
      </c>
      <c r="AA54" s="72">
        <f t="shared" si="12"/>
        <v>0</v>
      </c>
      <c r="AB54" s="72">
        <f t="shared" si="1"/>
        <v>121500</v>
      </c>
      <c r="AC54" s="72">
        <v>9204</v>
      </c>
      <c r="AD54" s="75">
        <f t="shared" si="2"/>
        <v>5230204</v>
      </c>
      <c r="AE54" s="72">
        <f t="shared" si="3"/>
        <v>685000</v>
      </c>
      <c r="AF54" s="76">
        <f t="shared" si="4"/>
        <v>1065000</v>
      </c>
      <c r="AG54" s="71"/>
    </row>
    <row r="55" spans="1:33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4"/>
      <c r="L55" s="72">
        <v>0</v>
      </c>
      <c r="M55" s="72">
        <v>1050000</v>
      </c>
      <c r="N55" s="72">
        <v>525000</v>
      </c>
      <c r="O55" s="72">
        <v>525000</v>
      </c>
      <c r="P55" s="72"/>
      <c r="Q55" s="72">
        <v>0</v>
      </c>
      <c r="R55" s="72">
        <v>0</v>
      </c>
      <c r="S55" s="72">
        <v>1050000</v>
      </c>
      <c r="T55" s="72">
        <v>525000</v>
      </c>
      <c r="U55" s="72">
        <v>525000</v>
      </c>
      <c r="V55" s="72"/>
      <c r="W55" s="72">
        <f t="shared" si="18"/>
        <v>0</v>
      </c>
      <c r="X55" s="72">
        <f t="shared" si="18"/>
        <v>0</v>
      </c>
      <c r="Y55" s="72">
        <f t="shared" si="18"/>
        <v>189000</v>
      </c>
      <c r="Z55" s="72">
        <f t="shared" si="13"/>
        <v>94500</v>
      </c>
      <c r="AA55" s="72">
        <f t="shared" si="12"/>
        <v>94500</v>
      </c>
      <c r="AB55" s="72">
        <f t="shared" si="1"/>
        <v>0</v>
      </c>
      <c r="AC55" s="72">
        <v>0</v>
      </c>
      <c r="AD55" s="75">
        <f t="shared" si="2"/>
        <v>5405118</v>
      </c>
      <c r="AE55" s="72">
        <f t="shared" si="3"/>
        <v>827118</v>
      </c>
      <c r="AF55" s="76">
        <f t="shared" si="4"/>
        <v>-427118</v>
      </c>
      <c r="AG55" s="71"/>
    </row>
    <row r="56" spans="1:33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4"/>
      <c r="L56" s="72">
        <v>0</v>
      </c>
      <c r="M56" s="72">
        <v>1462500</v>
      </c>
      <c r="N56" s="72"/>
      <c r="O56" s="72"/>
      <c r="P56" s="72"/>
      <c r="Q56" s="72">
        <v>0</v>
      </c>
      <c r="R56" s="72">
        <v>0</v>
      </c>
      <c r="S56" s="72">
        <f>487500+975000</f>
        <v>1462500</v>
      </c>
      <c r="T56" s="72"/>
      <c r="U56" s="72"/>
      <c r="V56" s="72"/>
      <c r="W56" s="72">
        <f t="shared" si="18"/>
        <v>0</v>
      </c>
      <c r="X56" s="72">
        <f t="shared" si="18"/>
        <v>0</v>
      </c>
      <c r="Y56" s="72">
        <f t="shared" si="18"/>
        <v>263250</v>
      </c>
      <c r="Z56" s="72">
        <f t="shared" si="13"/>
        <v>0</v>
      </c>
      <c r="AA56" s="72">
        <f t="shared" si="12"/>
        <v>0</v>
      </c>
      <c r="AB56" s="72">
        <f t="shared" si="1"/>
        <v>0</v>
      </c>
      <c r="AC56" s="72">
        <v>0</v>
      </c>
      <c r="AD56" s="75">
        <f t="shared" si="2"/>
        <v>4873000</v>
      </c>
      <c r="AE56" s="72">
        <f t="shared" si="3"/>
        <v>1684750</v>
      </c>
      <c r="AF56" s="76">
        <f t="shared" si="4"/>
        <v>-309750</v>
      </c>
      <c r="AG56" s="71"/>
    </row>
    <row r="57" spans="1:33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4"/>
      <c r="L57" s="72">
        <v>759000</v>
      </c>
      <c r="M57" s="72">
        <v>427500</v>
      </c>
      <c r="N57" s="72">
        <v>595500</v>
      </c>
      <c r="O57" s="72"/>
      <c r="P57" s="72"/>
      <c r="Q57" s="72"/>
      <c r="R57" s="72">
        <f>456000+377000-42000</f>
        <v>791000</v>
      </c>
      <c r="S57" s="72">
        <v>395500</v>
      </c>
      <c r="T57" s="72">
        <v>595500</v>
      </c>
      <c r="U57" s="72"/>
      <c r="V57" s="72"/>
      <c r="W57" s="72">
        <f t="shared" si="18"/>
        <v>0</v>
      </c>
      <c r="X57" s="72">
        <f t="shared" si="18"/>
        <v>142380</v>
      </c>
      <c r="Y57" s="72">
        <f t="shared" si="18"/>
        <v>71190</v>
      </c>
      <c r="Z57" s="72">
        <f t="shared" si="13"/>
        <v>107190</v>
      </c>
      <c r="AA57" s="72">
        <f t="shared" si="12"/>
        <v>0</v>
      </c>
      <c r="AB57" s="72">
        <f t="shared" si="1"/>
        <v>0</v>
      </c>
      <c r="AC57" s="72">
        <f>9204+14443+390+41300</f>
        <v>65337</v>
      </c>
      <c r="AD57" s="75">
        <f t="shared" si="2"/>
        <v>3950097</v>
      </c>
      <c r="AE57" s="72">
        <f t="shared" si="3"/>
        <v>0</v>
      </c>
      <c r="AF57" s="76">
        <f t="shared" si="4"/>
        <v>0</v>
      </c>
      <c r="AG57" s="71" t="s">
        <v>75</v>
      </c>
    </row>
    <row r="58" spans="1:33" s="3" customFormat="1" ht="15.95" customHeight="1" thickBot="1">
      <c r="A58" s="71"/>
      <c r="B58" s="88" t="s">
        <v>64</v>
      </c>
      <c r="C58" s="88"/>
      <c r="D58" s="89">
        <f t="shared" ref="D58:I58" si="19">SUM(D5:D57)</f>
        <v>250785500</v>
      </c>
      <c r="E58" s="89">
        <f t="shared" si="19"/>
        <v>4580000</v>
      </c>
      <c r="F58" s="89">
        <f t="shared" si="19"/>
        <v>22831620</v>
      </c>
      <c r="G58" s="89">
        <f t="shared" si="19"/>
        <v>34296394</v>
      </c>
      <c r="H58" s="89">
        <f t="shared" si="19"/>
        <v>66351747</v>
      </c>
      <c r="I58" s="89">
        <f t="shared" si="19"/>
        <v>98954830.599999994</v>
      </c>
      <c r="J58" s="89"/>
      <c r="K58" s="89"/>
      <c r="L58" s="90">
        <f t="shared" ref="L58:N58" si="20">SUM(L5:L57)</f>
        <v>28752480</v>
      </c>
      <c r="M58" s="90">
        <f t="shared" si="20"/>
        <v>28887064</v>
      </c>
      <c r="N58" s="91">
        <f t="shared" si="20"/>
        <v>21934418</v>
      </c>
      <c r="O58" s="91"/>
      <c r="P58" s="91"/>
      <c r="Q58" s="91">
        <f t="shared" ref="Q58:T58" si="21">SUM(Q5:Q57)</f>
        <v>6600250</v>
      </c>
      <c r="R58" s="91">
        <f t="shared" si="21"/>
        <v>20219914</v>
      </c>
      <c r="S58" s="91">
        <f t="shared" si="21"/>
        <v>28898000</v>
      </c>
      <c r="T58" s="91">
        <f t="shared" si="21"/>
        <v>22396582</v>
      </c>
      <c r="U58" s="91"/>
      <c r="V58" s="91"/>
      <c r="W58" s="91">
        <f t="shared" ref="W58:Y58" si="22">SUM(W5:W57)</f>
        <v>1188045</v>
      </c>
      <c r="X58" s="91">
        <f t="shared" si="22"/>
        <v>3639584.52</v>
      </c>
      <c r="Y58" s="91">
        <f t="shared" si="22"/>
        <v>5201640</v>
      </c>
      <c r="Z58" s="91">
        <f t="shared" si="13"/>
        <v>4031384.76</v>
      </c>
      <c r="AA58" s="91"/>
      <c r="AB58" s="90">
        <f t="shared" ref="AB58:AF58" si="23">SUM(AB5:AB57)</f>
        <v>949530.6</v>
      </c>
      <c r="AC58" s="90">
        <f t="shared" si="23"/>
        <v>4555785</v>
      </c>
      <c r="AD58" s="92">
        <f>E58+F58+G58+H58+I58</f>
        <v>227014591.59999999</v>
      </c>
      <c r="AE58" s="93">
        <f t="shared" si="23"/>
        <v>16055364.621999998</v>
      </c>
      <c r="AF58" s="92">
        <f t="shared" si="23"/>
        <v>21646364.277999997</v>
      </c>
      <c r="AG58" s="71"/>
    </row>
    <row r="59" spans="1:33" ht="15.95" customHeight="1" thickTop="1"/>
    <row r="60" spans="1:33" s="3" customFormat="1" ht="15.95" customHeight="1">
      <c r="A60" s="4"/>
      <c r="B60" s="4"/>
      <c r="C60" s="5"/>
      <c r="D60" s="6"/>
      <c r="I60" s="7"/>
      <c r="J60" s="7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8"/>
      <c r="AE60" s="69"/>
      <c r="AF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26.04.2022</vt:lpstr>
      <vt:lpstr>'26.04.2022'!Print_Area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2022-07-28T11:06:38Z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