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A72FAC1A-632A-4FDB-92EF-D90206B35F63}" xr6:coauthVersionLast="47" xr6:coauthVersionMax="47" xr10:uidLastSave="{00000000-0000-0000-0000-000000000000}"/>
  <bookViews>
    <workbookView xWindow="30" yWindow="0" windowWidth="20460" windowHeight="1092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4" i="3" l="1"/>
  <c r="J64" i="3"/>
  <c r="H56" i="3"/>
  <c r="H55" i="3"/>
  <c r="H54" i="3"/>
  <c r="H52" i="3"/>
  <c r="H50" i="3"/>
  <c r="H46" i="3"/>
  <c r="J42" i="3"/>
  <c r="H41" i="3"/>
  <c r="J35" i="3"/>
  <c r="H31" i="3"/>
  <c r="J28" i="3"/>
  <c r="K21" i="3"/>
  <c r="K20" i="3"/>
  <c r="K19" i="3"/>
  <c r="K17" i="3"/>
  <c r="K13" i="3"/>
  <c r="H12" i="3"/>
  <c r="I12" i="3" s="1"/>
  <c r="J9" i="3"/>
  <c r="K8" i="3"/>
  <c r="K7" i="3"/>
  <c r="L20" i="6"/>
  <c r="L5" i="6"/>
  <c r="H59" i="3"/>
  <c r="H57" i="3"/>
  <c r="H51" i="3"/>
  <c r="H48" i="3"/>
  <c r="H43" i="3"/>
  <c r="H42" i="3"/>
  <c r="H38" i="3"/>
  <c r="H29" i="3"/>
  <c r="K22" i="3"/>
  <c r="M22" i="3"/>
  <c r="J20" i="3"/>
  <c r="H20" i="3"/>
  <c r="K12" i="3"/>
  <c r="K6" i="3"/>
  <c r="H63" i="3"/>
  <c r="H58" i="3"/>
  <c r="H53" i="3"/>
  <c r="J43" i="3"/>
  <c r="J18" i="3"/>
  <c r="H17" i="3"/>
  <c r="L14" i="3"/>
  <c r="J14" i="3"/>
  <c r="H14" i="3"/>
  <c r="J13" i="3"/>
  <c r="H13" i="3"/>
  <c r="J12" i="3"/>
  <c r="H6" i="3"/>
  <c r="M6" i="3" s="1"/>
  <c r="M60" i="3"/>
  <c r="T8" i="3"/>
  <c r="F25" i="6" l="1"/>
  <c r="T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7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7" i="3"/>
  <c r="K68" i="3" l="1"/>
  <c r="K9" i="3"/>
  <c r="K10" i="3"/>
  <c r="K11" i="3"/>
  <c r="K15" i="3"/>
  <c r="K16" i="3"/>
  <c r="K18" i="3"/>
  <c r="K23" i="3"/>
  <c r="K24" i="3"/>
  <c r="K25" i="3"/>
  <c r="K27" i="3"/>
  <c r="K28" i="3"/>
  <c r="K29" i="3"/>
  <c r="K30" i="3"/>
  <c r="K38" i="3"/>
  <c r="K46" i="3"/>
  <c r="K47" i="3"/>
  <c r="K48" i="3"/>
  <c r="K49" i="3"/>
  <c r="O49" i="3"/>
  <c r="O48" i="3"/>
  <c r="O47" i="3"/>
  <c r="O46" i="3"/>
  <c r="O38" i="3"/>
  <c r="O30" i="3"/>
  <c r="O29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3" i="3"/>
  <c r="O12" i="3"/>
  <c r="O11" i="3"/>
  <c r="O10" i="3"/>
  <c r="O9" i="3"/>
  <c r="O8" i="3"/>
  <c r="O7" i="3"/>
  <c r="O6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F31" i="6" s="1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M66" i="3"/>
  <c r="M65" i="3"/>
  <c r="M64" i="3"/>
  <c r="M58" i="3"/>
  <c r="M57" i="3"/>
  <c r="M56" i="3"/>
  <c r="M55" i="3"/>
  <c r="M53" i="3"/>
  <c r="M44" i="3"/>
  <c r="J6" i="3"/>
  <c r="P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S61" i="3" l="1"/>
  <c r="S46" i="3"/>
  <c r="R25" i="3"/>
  <c r="R23" i="3"/>
  <c r="R22" i="3"/>
  <c r="R18" i="3"/>
  <c r="R17" i="3"/>
  <c r="R16" i="3"/>
  <c r="R14" i="3"/>
  <c r="R13" i="3"/>
  <c r="R12" i="3"/>
  <c r="R8" i="3"/>
  <c r="R7" i="3"/>
  <c r="F68" i="3"/>
  <c r="R6" i="3"/>
  <c r="Q67" i="3"/>
  <c r="S8" i="3"/>
  <c r="S9" i="3"/>
  <c r="S10" i="3"/>
  <c r="S11" i="3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2" i="3"/>
  <c r="S63" i="3"/>
  <c r="S64" i="3"/>
  <c r="S65" i="3"/>
  <c r="S66" i="3"/>
  <c r="S67" i="3"/>
  <c r="T67" i="3" s="1"/>
  <c r="J63" i="3"/>
  <c r="J62" i="3"/>
  <c r="J61" i="3"/>
  <c r="H62" i="3"/>
  <c r="H60" i="3"/>
  <c r="M59" i="3"/>
  <c r="M54" i="3"/>
  <c r="M52" i="3"/>
  <c r="M51" i="3"/>
  <c r="M50" i="3"/>
  <c r="M49" i="3"/>
  <c r="J48" i="3"/>
  <c r="J47" i="3"/>
  <c r="H47" i="3"/>
  <c r="J45" i="3"/>
  <c r="H45" i="3"/>
  <c r="J41" i="3"/>
  <c r="J40" i="3"/>
  <c r="J39" i="3"/>
  <c r="J38" i="3"/>
  <c r="J37" i="3"/>
  <c r="H37" i="3"/>
  <c r="J36" i="3"/>
  <c r="H34" i="3"/>
  <c r="M34" i="3" s="1"/>
  <c r="J33" i="3"/>
  <c r="H33" i="3"/>
  <c r="J32" i="3"/>
  <c r="M31" i="3"/>
  <c r="G31" i="3"/>
  <c r="N31" i="3"/>
  <c r="J30" i="3"/>
  <c r="J29" i="3"/>
  <c r="M29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8" i="3"/>
  <c r="M46" i="3"/>
  <c r="M62" i="3"/>
  <c r="S7" i="3"/>
  <c r="S13" i="3"/>
  <c r="S18" i="3"/>
  <c r="S16" i="3"/>
  <c r="S25" i="3"/>
  <c r="M21" i="3"/>
  <c r="M25" i="3"/>
  <c r="M27" i="3"/>
  <c r="M33" i="3"/>
  <c r="M37" i="3"/>
  <c r="S6" i="3"/>
  <c r="S14" i="3"/>
  <c r="J19" i="3"/>
  <c r="H19" i="3"/>
  <c r="M19" i="3" s="1"/>
  <c r="H18" i="3"/>
  <c r="J17" i="3"/>
  <c r="J16" i="3"/>
  <c r="H16" i="3"/>
  <c r="J15" i="3"/>
  <c r="M13" i="3"/>
  <c r="M12" i="3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M9" i="3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M14" i="3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X51" i="3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M43" i="3"/>
  <c r="M42" i="3"/>
  <c r="M41" i="3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P2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<sst xmlns="http://schemas.openxmlformats.org/spreadsheetml/2006/main" count="1344" uniqueCount="238">
  <si>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</si>
  <si>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</si>
  <si>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</si>
  <si>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</si>
  <si>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</si>
  <si>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</si>
  <si>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</si>
  <si>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</si>
  <si>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</si>
  <si>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</si>
  <si>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</si>
  <si>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</si>
  <si>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</si>
  <si>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</si>
  <si>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</si>
  <si>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</si>
  <si>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</si>
  <si>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</si>
  <si>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</si>
  <si>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</si>
  <si>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</si>
  <si>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</si>
  <si>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</si>
  <si>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</si>
  <si>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</si>
  <si>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</si>
  <si>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</si>
  <si>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</si>
  <si>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</si>
  <si>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</si>
  <si>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</si>
  <si>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</si>
  <si>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</si>
  <si>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</si>
  <si>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</si>
  <si>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</si>
  <si>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</si>
  <si>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</si>
  <si>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</si>
  <si>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</si>
  <si>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</si>
  <si>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</si>
  <si>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</si>
  <si>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</si>
  <si>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</si>
  <si>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</si>
  <si>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</si>
  <si>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</si>
  <si>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</si>
  <si>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</si>
  <si>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</si>
  <si>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</si>
  <si>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</si>
  <si>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</si>
  <si>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</si>
  <si>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</si>
  <si>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</si>
  <si>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</si>
  <si>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</si>
  <si>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</si>
  <si>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</si>
  <si>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</si>
  <si>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</si>
  <si>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</si>
  <si>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</si>
  <si>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</si>
  <si>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</si>
  <si>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</si>
  <si>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</si>
  <si>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</si>
  <si>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</si>
  <si>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</si>
  <si>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</si>
  <si>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</si>
  <si>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</si>
  <si>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</si>
  <si>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</si>
  <si>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</si>
  <si>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</si>
  <si>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</si>
  <si>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</si>
  <si>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</si>
  <si>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</si>
  <si>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</si>
  <si>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</si>
  <si>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</si>
  <si>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</si>
  <si>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</si>
  <si>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</si>
  <si>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</si>
  <si>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</si>
  <si>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</si>
  <si>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</si>
  <si>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</si>
  <si>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</si>
  <si>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</si>
  <si>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</si>
  <si>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</si>
  <si>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</si>
  <si>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</si>
  <si>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</si>
  <si>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</si>
  <si>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</si>
  <si>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</si>
  <si>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</si>
  <si>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</si>
  <si>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</si>
  <si>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</si>
  <si>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</si>
  <si>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</si>
  <si>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</si>
  <si>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</si>
  <si>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</si>
  <si>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</si>
  <si>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</si>
  <si>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</si>
  <si>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</si>
  <si>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</si>
  <si>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</si>
  <si>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</si>
  <si>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</si>
  <si>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</si>
  <si>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</si>
  <si>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</si>
  <si>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</si>
  <si>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</si>
  <si>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</si>
  <si>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</si>
  <si>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</si>
  <si>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</si>
  <si>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</si>
  <si>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</si>
  <si>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</si>
  <si>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</si>
  <si>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</si>
  <si>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</si>
  <si>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</si>
  <si>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</si>
  <si>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</si>
  <si>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</si>
  <si>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</si>
  <si>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</si>
  <si>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</si>
  <si>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</si>
  <si>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</si>
  <si>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</si>
  <si>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</si>
  <si>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</si>
  <si>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</si>
  <si>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</si>
  <si>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</si>
  <si>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</si>
  <si>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</si>
  <si>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</si>
  <si>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</si>
  <si>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</si>
  <si>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</si>
  <si>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</si>
  <si>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</si>
  <si>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</si>
  <si>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</si>
  <si>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</si>
  <si>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</si>
  <si>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</si>
  <si>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</si>
  <si>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</si>
  <si>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</si>
  <si>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</si>
  <si>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</si>
  <si>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</si>
  <si>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</si>
  <si>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</si>
  <si>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</si>
  <si>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</si>
  <si>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</si>
  <si>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</si>
  <si>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</si>
  <si>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</si>
  <si>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</si>
  <si>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</si>
  <si>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</si>
  <si>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</si>
  <si>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</si>
  <si>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</si>
  <si>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</si>
  <si>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</si>
  <si>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</si>
  <si>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</si>
  <si>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</si>
  <si>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</si>
  <si>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</si>
  <si>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</si>
  <si>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</si>
  <si>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</si>
  <si>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</si>
  <si>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</si>
  <si>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</si>
  <si>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</si>
  <si>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</si>
  <si>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</si>
  <si>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</si>
  <si>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</si>
  <si>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</si>
  <si>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</si>
  <si>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</si>
  <si>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</si>
  <si>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</si>
  <si>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</si>
  <si>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</si>
  <si>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</si>
  <si>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</si>
  <si>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</si>
  <si>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</si>
  <si>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</si>
  <si>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</si>
  <si>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</si>
  <si>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</si>
  <si>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</si>
  <si>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</si>
  <si>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</si>
  <si>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</si>
  <si>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</si>
  <si>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</si>
  <si>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</si>
  <si>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</si>
  <si>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</si>
  <si>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</si>
  <si>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</si>
  <si>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</si>
  <si>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</si>
  <si>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</si>
  <si>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</si>
  <si>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</si>
  <si>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</si>
  <si>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</si>
  <si>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</si>
  <si>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</si>
  <si>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30-06-2022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</si>
</sst>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0" fontId="5" fillId="0" borderId="4" xfId="0" applyFont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165" fontId="2" fillId="4" borderId="4" xfId="1" applyNumberFormat="1" applyFont="1" applyFill="1" applyBorder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X68"/>
  <sheetViews>
    <sheetView tabSelected="1" zoomScaleNormal="100" workbookViewId="0">
      <pane ySplit="5" topLeftCell="A6" activePane="bottomLeft" state="frozen"/>
      <selection pane="bottomLeft" activeCell="K7" sqref="K7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25" style="67" customWidth="1"/>
    <col min="6" max="6" width="11.42578125" style="54" customWidth="1"/>
    <col min="7" max="7" width="11.7109375" style="67"/>
    <col min="8" max="8" width="12.5703125" style="67" customWidth="1"/>
    <col min="9" max="9" width="12.140625" style="67" customWidth="1"/>
    <col min="10" max="10" width="11.42578125" style="67" customWidth="1"/>
    <col min="11" max="11" width="11" style="67" customWidth="1"/>
    <col min="12" max="12" width="8.7109375" style="67" customWidth="1"/>
    <col min="13" max="13" width="10.85546875" style="54" bestFit="1" customWidth="1"/>
    <col min="14" max="15" width="11.28515625" style="54" hidden="1" customWidth="1"/>
    <col min="16" max="16" width="10.42578125" style="54" hidden="1" customWidth="1"/>
    <col min="17" max="17" width="0" style="54" hidden="1" customWidth="1"/>
    <col min="18" max="18" width="11.5703125" style="54" hidden="1" customWidth="1"/>
    <col min="19" max="19" width="10.140625" style="54" hidden="1" customWidth="1"/>
    <col min="20" max="20" width="11.5703125" style="54" hidden="1" customWidth="1"/>
    <col min="21" max="21" width="0.28515625" style="54" customWidth="1"/>
    <col min="22" max="22" width="2.85546875" style="54" hidden="1" customWidth="1"/>
    <col min="23" max="23" width="12" style="54" hidden="1" customWidth="1"/>
    <col min="24" max="24" width="0.140625" style="54" hidden="1" customWidth="1"/>
    <col min="25" max="16384" width="11.7109375" style="54"/>
  </cols>
  <sheetData>
    <row r="1" spans="1:24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4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237</v>
      </c>
      <c r="J2" s="68"/>
      <c r="K2" s="68"/>
      <c r="L2" s="68"/>
      <c r="M2" s="64"/>
      <c r="N2" s="64"/>
      <c r="O2" s="64"/>
      <c r="P2" s="64">
        <f>9*4</f>
        <v>36</v>
      </c>
      <c r="Q2" s="64"/>
    </row>
    <row r="3" spans="1:24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4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4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/>
      <c r="P5" s="43" t="s">
        <v>123</v>
      </c>
      <c r="Q5" s="56" t="s">
        <v>126</v>
      </c>
      <c r="R5" s="43" t="s">
        <v>114</v>
      </c>
      <c r="S5" s="43" t="s">
        <v>127</v>
      </c>
      <c r="T5" s="42" t="s">
        <v>112</v>
      </c>
      <c r="U5" s="42" t="s">
        <v>118</v>
      </c>
      <c r="W5" s="42" t="s">
        <v>119</v>
      </c>
      <c r="X5" s="42" t="s">
        <v>120</v>
      </c>
    </row>
    <row r="6" spans="1:24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</f>
        <v>2114560</v>
      </c>
      <c r="P6" s="72">
        <f>960000</f>
        <v>960000</v>
      </c>
      <c r="Q6" s="72">
        <f>N6-P6-O6</f>
        <v>245440</v>
      </c>
      <c r="R6" s="72">
        <f>780000+232000+780000+548000</f>
        <v>2340000</v>
      </c>
      <c r="S6" s="72">
        <f>R6*18/100</f>
        <v>421200</v>
      </c>
      <c r="T6" s="53">
        <f>O6+P6-R6-S6</f>
        <v>313360</v>
      </c>
      <c r="U6" s="53">
        <f t="shared" ref="U6:U30" si="2">H6+P6</f>
        <v>6768000</v>
      </c>
      <c r="V6" s="53" t="s">
        <v>116</v>
      </c>
      <c r="W6" s="74">
        <v>5808000</v>
      </c>
      <c r="X6" s="75">
        <f>U6-W6</f>
        <v>960000</v>
      </c>
    </row>
    <row r="7" spans="1:24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6" si="3">F7*60/100</f>
        <v>4980000</v>
      </c>
      <c r="H7" s="72">
        <f>1225000+3587000+996000+996000+597600</f>
        <v>7401600</v>
      </c>
      <c r="I7" s="72">
        <f t="shared" ref="I7:I66" si="4">G7-H7</f>
        <v>-2421600</v>
      </c>
      <c r="J7" s="72">
        <f>1225000+3255000+2304840-3285000-909840+1195000+1195000</f>
        <v>4980000</v>
      </c>
      <c r="K7" s="72">
        <f>920400+391760+920400+920400-731360</f>
        <v>2421600</v>
      </c>
      <c r="L7" s="72"/>
      <c r="M7" s="72">
        <f t="shared" si="0"/>
        <v>0</v>
      </c>
      <c r="N7" s="72">
        <f t="shared" si="1"/>
        <v>3320000</v>
      </c>
      <c r="O7" s="72">
        <f>920400+391760+920400+920400</f>
        <v>3152960</v>
      </c>
      <c r="P7" s="72"/>
      <c r="Q7" s="72">
        <f t="shared" ref="Q7:Q66" si="5">N7-P7-O7</f>
        <v>167040</v>
      </c>
      <c r="R7" s="72">
        <f>780000+332000+780000+780000</f>
        <v>2672000</v>
      </c>
      <c r="S7" s="72">
        <f t="shared" ref="S7:S67" si="6">R7*18/100</f>
        <v>480960</v>
      </c>
      <c r="T7" s="53">
        <f t="shared" ref="T7:T66" si="7">O7+P7-R7-S7</f>
        <v>0</v>
      </c>
      <c r="U7" s="53">
        <f t="shared" si="2"/>
        <v>7401600</v>
      </c>
      <c r="V7" s="53" t="s">
        <v>116</v>
      </c>
      <c r="W7" s="74">
        <v>7401600</v>
      </c>
      <c r="X7" s="75">
        <f t="shared" ref="X7:X66" si="8">U7-W7</f>
        <v>0</v>
      </c>
    </row>
    <row r="8" spans="1:24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932200+932200-1020400</f>
        <v>844000</v>
      </c>
      <c r="L8" s="72"/>
      <c r="M8" s="72">
        <f t="shared" si="0"/>
        <v>0</v>
      </c>
      <c r="N8" s="72">
        <f t="shared" si="1"/>
        <v>3360000</v>
      </c>
      <c r="O8" s="72">
        <f>932200+932200</f>
        <v>1864400</v>
      </c>
      <c r="P8" s="72">
        <v>108000</v>
      </c>
      <c r="Q8" s="72">
        <f t="shared" si="5"/>
        <v>1387600</v>
      </c>
      <c r="R8" s="72">
        <f>790000</f>
        <v>790000</v>
      </c>
      <c r="S8" s="72">
        <f t="shared" si="6"/>
        <v>142200</v>
      </c>
      <c r="T8" s="53">
        <f>O8+P8-R8-S8</f>
        <v>1040200</v>
      </c>
      <c r="U8" s="53">
        <f t="shared" si="2"/>
        <v>5992000</v>
      </c>
      <c r="V8" s="53" t="s">
        <v>117</v>
      </c>
      <c r="W8" s="74">
        <v>5884000</v>
      </c>
      <c r="X8" s="75">
        <f t="shared" si="8"/>
        <v>108000</v>
      </c>
    </row>
    <row r="9" spans="1:24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1225000+2630000+1605000</f>
        <v>5460000</v>
      </c>
      <c r="K9" s="72">
        <f>1014800+1014800</f>
        <v>2029600</v>
      </c>
      <c r="L9" s="72"/>
      <c r="M9" s="72">
        <f t="shared" si="0"/>
        <v>-2029600</v>
      </c>
      <c r="N9" s="72">
        <f t="shared" si="1"/>
        <v>3640000</v>
      </c>
      <c r="O9" s="72">
        <f>1014800+1014800</f>
        <v>2029600</v>
      </c>
      <c r="P9" s="72"/>
      <c r="Q9" s="72">
        <f t="shared" si="5"/>
        <v>1610400</v>
      </c>
      <c r="R9" s="72"/>
      <c r="S9" s="72">
        <f t="shared" si="6"/>
        <v>0</v>
      </c>
      <c r="T9" s="53">
        <f t="shared" si="7"/>
        <v>2029600</v>
      </c>
      <c r="U9" s="53">
        <f t="shared" si="2"/>
        <v>5460000</v>
      </c>
      <c r="V9" s="53" t="s">
        <v>116</v>
      </c>
      <c r="W9" s="74">
        <v>3825000</v>
      </c>
      <c r="X9" s="75">
        <f t="shared" si="8"/>
        <v>1635000</v>
      </c>
    </row>
    <row r="10" spans="1:24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</f>
        <v>1817200</v>
      </c>
      <c r="P10" s="72"/>
      <c r="Q10" s="72">
        <f t="shared" si="5"/>
        <v>1462800</v>
      </c>
      <c r="R10" s="72">
        <v>770000</v>
      </c>
      <c r="S10" s="72">
        <f t="shared" si="6"/>
        <v>138600</v>
      </c>
      <c r="T10" s="53">
        <f t="shared" si="7"/>
        <v>908600</v>
      </c>
      <c r="U10" s="53">
        <f t="shared" si="2"/>
        <v>6716000</v>
      </c>
      <c r="V10" s="53" t="s">
        <v>116</v>
      </c>
      <c r="W10" s="74">
        <v>5732000</v>
      </c>
      <c r="X10" s="75">
        <f t="shared" si="8"/>
        <v>984000</v>
      </c>
    </row>
    <row r="11" spans="1:24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</f>
        <v>1840800</v>
      </c>
      <c r="P11" s="72"/>
      <c r="Q11" s="72">
        <f t="shared" si="5"/>
        <v>1479200</v>
      </c>
      <c r="R11" s="72">
        <v>780000</v>
      </c>
      <c r="S11" s="72">
        <f t="shared" si="6"/>
        <v>140400</v>
      </c>
      <c r="T11" s="53">
        <f t="shared" si="7"/>
        <v>920400</v>
      </c>
      <c r="U11" s="53">
        <f t="shared" si="2"/>
        <v>5865000</v>
      </c>
      <c r="V11" s="53" t="s">
        <v>116</v>
      </c>
      <c r="W11" s="74">
        <v>5865000</v>
      </c>
      <c r="X11" s="75">
        <f t="shared" si="8"/>
        <v>0</v>
      </c>
    </row>
    <row r="12" spans="1:24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1225000+6056249-525000+900000+573500</f>
        <v>8229749</v>
      </c>
      <c r="I12" s="72">
        <f>G12-H12</f>
        <v>-3129749</v>
      </c>
      <c r="J12" s="72">
        <f>225000+700000+300000+1225000+1225000+1425000</f>
        <v>5100000</v>
      </c>
      <c r="K12" s="72">
        <f>2832000</f>
        <v>2832000</v>
      </c>
      <c r="L12" s="72"/>
      <c r="M12" s="72">
        <f t="shared" si="0"/>
        <v>297749</v>
      </c>
      <c r="N12" s="72">
        <f t="shared" si="1"/>
        <v>3400000</v>
      </c>
      <c r="O12" s="72">
        <f>944000+944000+1011260</f>
        <v>2899260</v>
      </c>
      <c r="P12" s="72"/>
      <c r="Q12" s="72">
        <f t="shared" si="5"/>
        <v>500740</v>
      </c>
      <c r="R12" s="72">
        <f>800000+800000+800000+800000</f>
        <v>3200000</v>
      </c>
      <c r="S12" s="72">
        <f t="shared" si="6"/>
        <v>576000</v>
      </c>
      <c r="T12" s="53">
        <f t="shared" si="7"/>
        <v>-876740</v>
      </c>
      <c r="U12" s="53">
        <f t="shared" si="2"/>
        <v>8229749</v>
      </c>
      <c r="V12" s="53" t="s">
        <v>116</v>
      </c>
      <c r="W12" s="74">
        <v>7281249</v>
      </c>
      <c r="X12" s="75">
        <f t="shared" si="8"/>
        <v>948500</v>
      </c>
    </row>
    <row r="13" spans="1:24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1225000+3587000+2589600</f>
        <v>7401600</v>
      </c>
      <c r="I13" s="72">
        <f t="shared" si="4"/>
        <v>-2421600</v>
      </c>
      <c r="J13" s="72">
        <f>1225000+3255000+2304840-3285000+1195000+285160</f>
        <v>4980000</v>
      </c>
      <c r="K13" s="72">
        <f>920400+391760+920400+920400+985300-1716660</f>
        <v>2421600</v>
      </c>
      <c r="L13" s="72"/>
      <c r="M13" s="72">
        <f t="shared" si="0"/>
        <v>0</v>
      </c>
      <c r="N13" s="72">
        <f t="shared" si="1"/>
        <v>3320000</v>
      </c>
      <c r="O13" s="72">
        <f>920400+391760</f>
        <v>1312160</v>
      </c>
      <c r="P13" s="72"/>
      <c r="Q13" s="72">
        <f t="shared" si="5"/>
        <v>2007840</v>
      </c>
      <c r="R13" s="72">
        <f>780000+332000+780000+780000</f>
        <v>2672000</v>
      </c>
      <c r="S13" s="72">
        <f t="shared" si="6"/>
        <v>480960</v>
      </c>
      <c r="T13" s="53">
        <f t="shared" si="7"/>
        <v>-1840800</v>
      </c>
      <c r="U13" s="53">
        <f t="shared" si="2"/>
        <v>7401600</v>
      </c>
      <c r="V13" s="53" t="s">
        <v>116</v>
      </c>
      <c r="W13" s="74">
        <v>7401600</v>
      </c>
      <c r="X13" s="75">
        <f t="shared" si="8"/>
        <v>0</v>
      </c>
    </row>
    <row r="14" spans="1:24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</f>
        <v>5808000</v>
      </c>
      <c r="I14" s="72">
        <f t="shared" si="4"/>
        <v>-828000</v>
      </c>
      <c r="J14" s="72">
        <f>225000+1000000+2696600-30000-106600+1195000</f>
        <v>4980000</v>
      </c>
      <c r="K14" s="72">
        <v>1840800</v>
      </c>
      <c r="L14" s="72">
        <f>2360+9558+2360</f>
        <v>14278</v>
      </c>
      <c r="M14" s="72">
        <f t="shared" si="0"/>
        <v>-1027078</v>
      </c>
      <c r="N14" s="72">
        <f t="shared" si="1"/>
        <v>3320000</v>
      </c>
      <c r="O14" s="72"/>
      <c r="P14" s="72">
        <v>996000</v>
      </c>
      <c r="Q14" s="72">
        <f t="shared" si="5"/>
        <v>2324000</v>
      </c>
      <c r="R14" s="72">
        <f>780000+780000</f>
        <v>1560000</v>
      </c>
      <c r="S14" s="72">
        <f t="shared" si="6"/>
        <v>280800</v>
      </c>
      <c r="T14" s="53">
        <f t="shared" si="7"/>
        <v>-844800</v>
      </c>
      <c r="U14" s="53">
        <f t="shared" si="2"/>
        <v>6804000</v>
      </c>
      <c r="V14" s="53" t="s">
        <v>116</v>
      </c>
      <c r="W14" s="74">
        <v>5808000</v>
      </c>
      <c r="X14" s="75">
        <f t="shared" si="8"/>
        <v>996000</v>
      </c>
    </row>
    <row r="15" spans="1:24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v>996000</v>
      </c>
      <c r="Q15" s="72">
        <f t="shared" si="5"/>
        <v>1403600</v>
      </c>
      <c r="R15" s="72">
        <v>780000</v>
      </c>
      <c r="S15" s="72">
        <f t="shared" si="6"/>
        <v>140400</v>
      </c>
      <c r="T15" s="53">
        <f t="shared" si="7"/>
        <v>996000</v>
      </c>
      <c r="U15" s="53">
        <f t="shared" si="2"/>
        <v>5858000</v>
      </c>
      <c r="V15" s="53" t="s">
        <v>116</v>
      </c>
      <c r="W15" s="74">
        <v>4862000</v>
      </c>
      <c r="X15" s="75">
        <f t="shared" si="8"/>
        <v>996000</v>
      </c>
    </row>
    <row r="16" spans="1:24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</f>
        <v>1817200</v>
      </c>
      <c r="P16" s="72">
        <v>984000</v>
      </c>
      <c r="Q16" s="72">
        <f t="shared" si="5"/>
        <v>478800</v>
      </c>
      <c r="R16" s="72">
        <f>770000+770000</f>
        <v>1540000</v>
      </c>
      <c r="S16" s="72">
        <f t="shared" si="6"/>
        <v>277200</v>
      </c>
      <c r="T16" s="53">
        <f t="shared" si="7"/>
        <v>984000</v>
      </c>
      <c r="U16" s="53">
        <f t="shared" si="2"/>
        <v>6716000</v>
      </c>
      <c r="V16" s="53" t="s">
        <v>116</v>
      </c>
      <c r="W16" s="74">
        <v>5732000</v>
      </c>
      <c r="X16" s="75">
        <f t="shared" si="8"/>
        <v>984000</v>
      </c>
    </row>
    <row r="17" spans="1:24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25000+500000+200000+1000000+3215000+275000+1020000+275000</f>
        <v>6510000</v>
      </c>
      <c r="I17" s="72">
        <f t="shared" si="4"/>
        <v>-1410000</v>
      </c>
      <c r="J17" s="72">
        <f>225000+1000000+500000+1987000-500000+1225000+663000</f>
        <v>5100000</v>
      </c>
      <c r="K17" s="72">
        <f>944000+944000+944000+423023</f>
        <v>3255023</v>
      </c>
      <c r="L17" s="72"/>
      <c r="M17" s="72">
        <f t="shared" si="0"/>
        <v>-1845023</v>
      </c>
      <c r="N17" s="72">
        <f t="shared" si="1"/>
        <v>3400000</v>
      </c>
      <c r="O17" s="72">
        <f>944000+944000+944000</f>
        <v>2832000</v>
      </c>
      <c r="P17" s="72">
        <v>1020000</v>
      </c>
      <c r="Q17" s="72">
        <f t="shared" si="5"/>
        <v>-452000</v>
      </c>
      <c r="R17" s="72">
        <f>1600000+800000</f>
        <v>2400000</v>
      </c>
      <c r="S17" s="72">
        <f t="shared" si="6"/>
        <v>432000</v>
      </c>
      <c r="T17" s="53">
        <f t="shared" si="7"/>
        <v>1020000</v>
      </c>
      <c r="U17" s="53">
        <f t="shared" si="2"/>
        <v>7530000</v>
      </c>
      <c r="V17" s="53" t="s">
        <v>116</v>
      </c>
      <c r="W17" s="74">
        <v>6235000</v>
      </c>
      <c r="X17" s="75">
        <f t="shared" si="8"/>
        <v>1295000</v>
      </c>
    </row>
    <row r="18" spans="1:24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225000+1000000+3195000+742800+1180000+637200-2060000</f>
        <v>4920000</v>
      </c>
      <c r="K18" s="72">
        <f>908600+908600</f>
        <v>1817200</v>
      </c>
      <c r="L18" s="72"/>
      <c r="M18" s="72">
        <f t="shared" si="0"/>
        <v>17800</v>
      </c>
      <c r="N18" s="72">
        <f t="shared" si="1"/>
        <v>3280000</v>
      </c>
      <c r="O18" s="72">
        <f>908600+908600</f>
        <v>1817200</v>
      </c>
      <c r="P18" s="72"/>
      <c r="Q18" s="72">
        <f t="shared" si="5"/>
        <v>1462800</v>
      </c>
      <c r="R18" s="72">
        <f>770000+770000</f>
        <v>1540000</v>
      </c>
      <c r="S18" s="72">
        <f t="shared" si="6"/>
        <v>277200</v>
      </c>
      <c r="T18" s="53">
        <f t="shared" si="7"/>
        <v>0</v>
      </c>
      <c r="U18" s="53">
        <f t="shared" si="2"/>
        <v>6755000</v>
      </c>
      <c r="V18" s="53" t="s">
        <v>116</v>
      </c>
      <c r="W18" s="74">
        <v>6755000</v>
      </c>
      <c r="X18" s="75">
        <f t="shared" si="8"/>
        <v>0</v>
      </c>
    </row>
    <row r="19" spans="1:24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1098580+1098580+1098580+628260</f>
        <v>3924000</v>
      </c>
      <c r="L19" s="72"/>
      <c r="M19" s="72">
        <f t="shared" si="0"/>
        <v>0</v>
      </c>
      <c r="N19" s="72">
        <f t="shared" si="1"/>
        <v>3924000</v>
      </c>
      <c r="O19" s="72">
        <f>1098580+1098580+1098580</f>
        <v>3295740</v>
      </c>
      <c r="P19" s="72">
        <v>706320</v>
      </c>
      <c r="Q19" s="72">
        <f t="shared" si="5"/>
        <v>-78060</v>
      </c>
      <c r="R19" s="72">
        <v>3724000</v>
      </c>
      <c r="S19" s="72">
        <f t="shared" si="6"/>
        <v>670320</v>
      </c>
      <c r="T19" s="53">
        <f t="shared" si="7"/>
        <v>-392260</v>
      </c>
      <c r="U19" s="53">
        <f t="shared" si="2"/>
        <v>10516320</v>
      </c>
      <c r="V19" s="53" t="s">
        <v>116</v>
      </c>
      <c r="W19" s="74">
        <v>9810000</v>
      </c>
      <c r="X19" s="75">
        <f t="shared" si="8"/>
        <v>706320</v>
      </c>
    </row>
    <row r="20" spans="1:24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</f>
        <v>6072000</v>
      </c>
      <c r="K20" s="72">
        <f>1135160+1135160+1135160+647520</f>
        <v>4053000</v>
      </c>
      <c r="L20" s="72"/>
      <c r="M20" s="72">
        <f t="shared" si="0"/>
        <v>0</v>
      </c>
      <c r="N20" s="72">
        <f t="shared" si="1"/>
        <v>4048000</v>
      </c>
      <c r="O20" s="72">
        <f>1135160+1135160+1135160</f>
        <v>3405480</v>
      </c>
      <c r="P20" s="72">
        <v>746088</v>
      </c>
      <c r="Q20" s="72">
        <f t="shared" si="5"/>
        <v>-103568</v>
      </c>
      <c r="R20" s="72">
        <v>3848000</v>
      </c>
      <c r="S20" s="72">
        <f t="shared" si="6"/>
        <v>692640</v>
      </c>
      <c r="T20" s="53">
        <f t="shared" si="7"/>
        <v>-389072</v>
      </c>
      <c r="U20" s="53">
        <f t="shared" si="2"/>
        <v>10871088</v>
      </c>
      <c r="V20" s="53" t="s">
        <v>116</v>
      </c>
      <c r="W20" s="74">
        <v>10125000</v>
      </c>
      <c r="X20" s="75">
        <f t="shared" si="8"/>
        <v>746088</v>
      </c>
    </row>
    <row r="21" spans="1:24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920400+844800-339600</f>
        <v>1425600</v>
      </c>
      <c r="L21" s="72"/>
      <c r="M21" s="72">
        <f t="shared" si="0"/>
        <v>0</v>
      </c>
      <c r="N21" s="72">
        <f t="shared" si="1"/>
        <v>3320000</v>
      </c>
      <c r="O21" s="72">
        <f>920400+844800</f>
        <v>1765200</v>
      </c>
      <c r="P21" s="72">
        <v>996000</v>
      </c>
      <c r="Q21" s="72">
        <f t="shared" si="5"/>
        <v>558800</v>
      </c>
      <c r="R21" s="72">
        <v>2340000</v>
      </c>
      <c r="S21" s="72">
        <f t="shared" si="6"/>
        <v>421200</v>
      </c>
      <c r="T21" s="53">
        <f t="shared" si="7"/>
        <v>0</v>
      </c>
      <c r="U21" s="53">
        <f t="shared" si="2"/>
        <v>7401600</v>
      </c>
      <c r="V21" s="53" t="s">
        <v>117</v>
      </c>
      <c r="W21" s="74">
        <v>7401600</v>
      </c>
      <c r="X21" s="75">
        <f t="shared" si="8"/>
        <v>0</v>
      </c>
    </row>
    <row r="22" spans="1:24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v>996000</v>
      </c>
      <c r="Q22" s="72">
        <f t="shared" si="5"/>
        <v>483200</v>
      </c>
      <c r="R22" s="72">
        <f>780000+780000</f>
        <v>1560000</v>
      </c>
      <c r="S22" s="72">
        <f t="shared" si="6"/>
        <v>280800</v>
      </c>
      <c r="T22" s="53">
        <f t="shared" si="7"/>
        <v>996000</v>
      </c>
      <c r="U22" s="53">
        <f t="shared" si="2"/>
        <v>6804000</v>
      </c>
      <c r="V22" s="53" t="s">
        <v>116</v>
      </c>
      <c r="W22" s="74">
        <v>5808000</v>
      </c>
      <c r="X22" s="75">
        <f t="shared" si="8"/>
        <v>996000</v>
      </c>
    </row>
    <row r="23" spans="1:24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v>1092000</v>
      </c>
      <c r="Q23" s="72">
        <f t="shared" si="5"/>
        <v>518400</v>
      </c>
      <c r="R23" s="72">
        <f>860000+860000</f>
        <v>1720000</v>
      </c>
      <c r="S23" s="72">
        <f t="shared" si="6"/>
        <v>309600</v>
      </c>
      <c r="T23" s="53">
        <f t="shared" si="7"/>
        <v>1092000</v>
      </c>
      <c r="U23" s="53">
        <f t="shared" si="2"/>
        <v>7508000</v>
      </c>
      <c r="V23" s="53" t="s">
        <v>116</v>
      </c>
      <c r="W23" s="74">
        <v>6416000</v>
      </c>
      <c r="X23" s="75">
        <f t="shared" si="8"/>
        <v>1092000</v>
      </c>
    </row>
    <row r="24" spans="1:24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/>
      <c r="Q24" s="72">
        <f t="shared" si="5"/>
        <v>1594000</v>
      </c>
      <c r="R24" s="72">
        <v>1700000</v>
      </c>
      <c r="S24" s="72">
        <f t="shared" si="6"/>
        <v>306000</v>
      </c>
      <c r="T24" s="53">
        <f t="shared" si="7"/>
        <v>0</v>
      </c>
      <c r="U24" s="53">
        <f t="shared" si="2"/>
        <v>6340000</v>
      </c>
      <c r="V24" s="53" t="s">
        <v>116</v>
      </c>
      <c r="W24" s="74">
        <v>6340000</v>
      </c>
      <c r="X24" s="75">
        <f t="shared" si="8"/>
        <v>0</v>
      </c>
    </row>
    <row r="25" spans="1:24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/>
      <c r="Q25" s="72">
        <f t="shared" si="5"/>
        <v>2625200</v>
      </c>
      <c r="R25" s="72">
        <f>860000+860000</f>
        <v>1720000</v>
      </c>
      <c r="S25" s="72">
        <f t="shared" si="6"/>
        <v>309600</v>
      </c>
      <c r="T25" s="53">
        <f t="shared" si="7"/>
        <v>-1014800</v>
      </c>
      <c r="U25" s="53">
        <f t="shared" si="2"/>
        <v>6416000</v>
      </c>
      <c r="V25" s="53" t="s">
        <v>116</v>
      </c>
      <c r="W25" s="74">
        <v>6416000</v>
      </c>
      <c r="X25" s="75">
        <f t="shared" si="8"/>
        <v>0</v>
      </c>
    </row>
    <row r="26" spans="1:24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v>1098000</v>
      </c>
      <c r="Q26" s="72">
        <f t="shared" si="5"/>
        <v>1541300</v>
      </c>
      <c r="R26" s="72">
        <v>1730000</v>
      </c>
      <c r="S26" s="72">
        <f t="shared" si="6"/>
        <v>311400</v>
      </c>
      <c r="T26" s="53">
        <f t="shared" si="7"/>
        <v>77300</v>
      </c>
      <c r="U26" s="53">
        <f t="shared" si="2"/>
        <v>6454000</v>
      </c>
      <c r="V26" s="53" t="s">
        <v>116</v>
      </c>
      <c r="W26" s="74">
        <v>5356000</v>
      </c>
      <c r="X26" s="75">
        <f t="shared" si="8"/>
        <v>1098000</v>
      </c>
    </row>
    <row r="27" spans="1:24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</f>
        <v>2029600</v>
      </c>
      <c r="P27" s="72"/>
      <c r="Q27" s="72">
        <f t="shared" si="5"/>
        <v>1610400</v>
      </c>
      <c r="R27" s="72">
        <v>1720000</v>
      </c>
      <c r="S27" s="72">
        <f t="shared" si="6"/>
        <v>309600</v>
      </c>
      <c r="T27" s="53">
        <f t="shared" si="7"/>
        <v>0</v>
      </c>
      <c r="U27" s="53">
        <f t="shared" si="2"/>
        <v>6391000</v>
      </c>
      <c r="V27" s="53" t="s">
        <v>116</v>
      </c>
      <c r="W27" s="74">
        <v>6416000</v>
      </c>
      <c r="X27" s="75">
        <f t="shared" si="8"/>
        <v>-25000</v>
      </c>
    </row>
    <row r="28" spans="1:24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1225000+1300000+1300000+1575000</f>
        <v>5400000</v>
      </c>
      <c r="K28" s="72">
        <f>1003000+1003000</f>
        <v>2006000</v>
      </c>
      <c r="L28" s="72"/>
      <c r="M28" s="72">
        <f t="shared" si="0"/>
        <v>594000</v>
      </c>
      <c r="N28" s="72">
        <f t="shared" si="1"/>
        <v>3600000</v>
      </c>
      <c r="O28" s="72">
        <f>1003000+1003000</f>
        <v>2006000</v>
      </c>
      <c r="P28" s="72"/>
      <c r="Q28" s="72">
        <f t="shared" si="5"/>
        <v>1594000</v>
      </c>
      <c r="R28" s="72">
        <v>1700000</v>
      </c>
      <c r="S28" s="72">
        <f t="shared" si="6"/>
        <v>306000</v>
      </c>
      <c r="T28" s="53">
        <f t="shared" si="7"/>
        <v>0</v>
      </c>
      <c r="U28" s="53">
        <f t="shared" si="2"/>
        <v>8000000</v>
      </c>
      <c r="V28" s="53" t="s">
        <v>116</v>
      </c>
      <c r="W28" s="74">
        <v>8000000</v>
      </c>
      <c r="X28" s="75">
        <f t="shared" si="8"/>
        <v>0</v>
      </c>
    </row>
    <row r="29" spans="1:24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225001+3200000+1975000</f>
        <v>5400001</v>
      </c>
      <c r="I29" s="72">
        <f t="shared" si="4"/>
        <v>41999</v>
      </c>
      <c r="J29" s="72">
        <f>1310500+1310500</f>
        <v>2621000</v>
      </c>
      <c r="K29" s="72">
        <f>1011260+1011260</f>
        <v>2022520</v>
      </c>
      <c r="L29" s="72"/>
      <c r="M29" s="136">
        <f t="shared" si="0"/>
        <v>756481</v>
      </c>
      <c r="N29" s="72">
        <f t="shared" si="1"/>
        <v>3628000</v>
      </c>
      <c r="O29" s="72">
        <f>1011260+1011260</f>
        <v>2022520</v>
      </c>
      <c r="P29" s="72"/>
      <c r="Q29" s="72">
        <f t="shared" si="5"/>
        <v>1605480</v>
      </c>
      <c r="R29" s="72">
        <v>1714000</v>
      </c>
      <c r="S29" s="72">
        <f t="shared" si="6"/>
        <v>308520</v>
      </c>
      <c r="T29" s="53">
        <f t="shared" si="7"/>
        <v>0</v>
      </c>
      <c r="U29" s="53">
        <f t="shared" si="2"/>
        <v>5400001</v>
      </c>
      <c r="V29" s="53" t="s">
        <v>117</v>
      </c>
      <c r="W29" s="74">
        <v>1925000</v>
      </c>
      <c r="X29" s="75">
        <f t="shared" si="8"/>
        <v>3475001</v>
      </c>
    </row>
    <row r="30" spans="1:24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v>1072000</v>
      </c>
      <c r="Q30" s="72">
        <f t="shared" si="5"/>
        <v>1553200</v>
      </c>
      <c r="R30" s="72">
        <v>1720000</v>
      </c>
      <c r="S30" s="72">
        <f t="shared" si="6"/>
        <v>309600</v>
      </c>
      <c r="T30" s="53">
        <f t="shared" si="7"/>
        <v>57200</v>
      </c>
      <c r="U30" s="53">
        <f t="shared" si="2"/>
        <v>6396000</v>
      </c>
      <c r="V30" s="53" t="s">
        <v>116</v>
      </c>
      <c r="W30" s="74">
        <v>5324000</v>
      </c>
      <c r="X30" s="75">
        <f t="shared" si="8"/>
        <v>1072000</v>
      </c>
    </row>
    <row r="31" spans="1:24" ht="12.95" customHeight="1" x14ac:dyDescent="0.2">
      <c r="A31" s="70">
        <f t="shared" ref="A31:A66" si="9">A30+1</f>
        <v>26</v>
      </c>
      <c r="B31" s="71">
        <v>146</v>
      </c>
      <c r="C31" s="64">
        <v>2040</v>
      </c>
      <c r="D31" s="72" t="s">
        <v>109</v>
      </c>
      <c r="E31" s="76" t="s">
        <v>131</v>
      </c>
      <c r="F31" s="73">
        <v>12375000</v>
      </c>
      <c r="G31" s="72">
        <f t="shared" si="3"/>
        <v>7425000</v>
      </c>
      <c r="H31" s="72">
        <f>25000+1200000+800000+400000</f>
        <v>2425000</v>
      </c>
      <c r="I31" s="72">
        <f t="shared" si="4"/>
        <v>5000000</v>
      </c>
      <c r="J31" s="72"/>
      <c r="K31" s="72"/>
      <c r="L31" s="72"/>
      <c r="M31" s="136">
        <f t="shared" si="0"/>
        <v>2425000</v>
      </c>
      <c r="N31" s="72">
        <f t="shared" si="1"/>
        <v>4950000</v>
      </c>
      <c r="O31" s="72"/>
      <c r="P31" s="72"/>
      <c r="Q31" s="72">
        <f t="shared" si="5"/>
        <v>4950000</v>
      </c>
      <c r="R31" s="72"/>
      <c r="S31" s="72">
        <f t="shared" si="6"/>
        <v>0</v>
      </c>
      <c r="T31" s="53">
        <f t="shared" si="7"/>
        <v>0</v>
      </c>
      <c r="U31" s="53"/>
      <c r="V31" s="53"/>
      <c r="W31" s="74"/>
      <c r="X31" s="75"/>
    </row>
    <row r="32" spans="1:24" ht="12.95" customHeight="1" x14ac:dyDescent="0.2">
      <c r="A32" s="70">
        <f t="shared" si="9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/>
      <c r="Q32" s="72">
        <f t="shared" si="5"/>
        <v>2577250</v>
      </c>
      <c r="R32" s="72">
        <v>843000</v>
      </c>
      <c r="S32" s="72">
        <f t="shared" si="6"/>
        <v>151740</v>
      </c>
      <c r="T32" s="53">
        <f t="shared" si="7"/>
        <v>10</v>
      </c>
      <c r="U32" s="53">
        <f t="shared" ref="U32:U66" si="10">H32+P32</f>
        <v>5225000</v>
      </c>
      <c r="V32" s="53" t="s">
        <v>116</v>
      </c>
      <c r="W32" s="74">
        <v>5225000</v>
      </c>
      <c r="X32" s="75">
        <f t="shared" si="8"/>
        <v>0</v>
      </c>
    </row>
    <row r="33" spans="1:24" ht="12.95" customHeight="1" x14ac:dyDescent="0.2">
      <c r="A33" s="70">
        <f t="shared" si="9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/>
      <c r="Q33" s="72">
        <f t="shared" si="5"/>
        <v>2484200</v>
      </c>
      <c r="R33" s="72">
        <v>810000</v>
      </c>
      <c r="S33" s="72">
        <f t="shared" si="6"/>
        <v>145800</v>
      </c>
      <c r="T33" s="53">
        <f t="shared" si="7"/>
        <v>0</v>
      </c>
      <c r="U33" s="53">
        <f t="shared" si="10"/>
        <v>5004009</v>
      </c>
      <c r="V33" s="53" t="s">
        <v>117</v>
      </c>
      <c r="W33" s="74">
        <v>5004000</v>
      </c>
      <c r="X33" s="75">
        <f t="shared" si="8"/>
        <v>9</v>
      </c>
    </row>
    <row r="34" spans="1:24" ht="12.95" customHeight="1" x14ac:dyDescent="0.2">
      <c r="A34" s="70">
        <f t="shared" si="9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/>
      <c r="Q34" s="72">
        <f t="shared" si="5"/>
        <v>3440000</v>
      </c>
      <c r="R34" s="72">
        <v>0</v>
      </c>
      <c r="S34" s="72">
        <f t="shared" si="6"/>
        <v>0</v>
      </c>
      <c r="T34" s="53">
        <f t="shared" si="7"/>
        <v>0</v>
      </c>
      <c r="U34" s="53">
        <f t="shared" si="10"/>
        <v>5004001</v>
      </c>
      <c r="V34" s="53" t="s">
        <v>116</v>
      </c>
      <c r="W34" s="74">
        <v>1225000</v>
      </c>
      <c r="X34" s="75">
        <f t="shared" si="8"/>
        <v>3779001</v>
      </c>
    </row>
    <row r="35" spans="1:24" ht="12.95" customHeight="1" x14ac:dyDescent="0.2">
      <c r="A35" s="70">
        <f t="shared" si="9"/>
        <v>30</v>
      </c>
      <c r="B35" s="71">
        <v>151</v>
      </c>
      <c r="C35" s="64">
        <v>2040</v>
      </c>
      <c r="D35" s="72" t="s">
        <v>109</v>
      </c>
      <c r="E35" s="71" t="s">
        <v>76</v>
      </c>
      <c r="F35" s="73">
        <v>8600000</v>
      </c>
      <c r="G35" s="72">
        <f t="shared" si="3"/>
        <v>5160000</v>
      </c>
      <c r="H35" s="72">
        <f>1225007</f>
        <v>1225007</v>
      </c>
      <c r="I35" s="72">
        <f t="shared" si="4"/>
        <v>3934993</v>
      </c>
      <c r="J35" s="72">
        <f>1225007+3934994</f>
        <v>5160001</v>
      </c>
      <c r="K35" s="72"/>
      <c r="L35" s="72"/>
      <c r="M35" s="72">
        <f t="shared" si="0"/>
        <v>-3934994</v>
      </c>
      <c r="N35" s="72">
        <f t="shared" si="1"/>
        <v>3440000</v>
      </c>
      <c r="O35" s="72"/>
      <c r="P35" s="72"/>
      <c r="Q35" s="72">
        <f t="shared" si="5"/>
        <v>3440000</v>
      </c>
      <c r="R35" s="72">
        <v>0</v>
      </c>
      <c r="S35" s="72">
        <f t="shared" si="6"/>
        <v>0</v>
      </c>
      <c r="T35" s="53">
        <f t="shared" si="7"/>
        <v>0</v>
      </c>
      <c r="U35" s="53">
        <f t="shared" si="10"/>
        <v>1225007</v>
      </c>
      <c r="V35" s="53" t="s">
        <v>116</v>
      </c>
      <c r="W35" s="74">
        <v>1225007</v>
      </c>
      <c r="X35" s="75">
        <f t="shared" si="8"/>
        <v>0</v>
      </c>
    </row>
    <row r="36" spans="1:24" ht="12.95" customHeight="1" x14ac:dyDescent="0.2">
      <c r="A36" s="70">
        <f t="shared" si="9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/>
      <c r="Q36" s="72">
        <f t="shared" si="5"/>
        <v>2704442</v>
      </c>
      <c r="R36" s="72">
        <v>888100</v>
      </c>
      <c r="S36" s="72">
        <f t="shared" si="6"/>
        <v>159858</v>
      </c>
      <c r="T36" s="53">
        <f t="shared" si="7"/>
        <v>0</v>
      </c>
      <c r="U36" s="53">
        <f t="shared" si="10"/>
        <v>5510000</v>
      </c>
      <c r="V36" s="53" t="s">
        <v>116</v>
      </c>
      <c r="W36" s="74">
        <v>5510000</v>
      </c>
      <c r="X36" s="75">
        <f t="shared" si="8"/>
        <v>0</v>
      </c>
    </row>
    <row r="37" spans="1:24" ht="12.95" customHeight="1" x14ac:dyDescent="0.2">
      <c r="A37" s="70">
        <f t="shared" si="9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/>
      <c r="Q37" s="72">
        <f t="shared" si="5"/>
        <v>2625200</v>
      </c>
      <c r="R37" s="72">
        <v>860000</v>
      </c>
      <c r="S37" s="72">
        <f t="shared" si="6"/>
        <v>154800</v>
      </c>
      <c r="T37" s="53">
        <f t="shared" si="7"/>
        <v>0</v>
      </c>
      <c r="U37" s="53">
        <f t="shared" si="10"/>
        <v>5400000</v>
      </c>
      <c r="V37" s="53" t="s">
        <v>117</v>
      </c>
      <c r="W37" s="74">
        <v>5400000</v>
      </c>
      <c r="X37" s="75">
        <f t="shared" si="8"/>
        <v>0</v>
      </c>
    </row>
    <row r="38" spans="1:24" ht="12.95" customHeight="1" x14ac:dyDescent="0.2">
      <c r="A38" s="70">
        <f t="shared" si="9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1225000+1400000+2000005.7+699000+1092750</f>
        <v>6416755.7000000002</v>
      </c>
      <c r="I38" s="72">
        <f t="shared" si="4"/>
        <v>-956755.70000000019</v>
      </c>
      <c r="J38" s="72">
        <f>1225000+1315000</f>
        <v>2540000</v>
      </c>
      <c r="K38" s="72">
        <f>1014800</f>
        <v>1014800</v>
      </c>
      <c r="L38" s="72"/>
      <c r="M38" s="72">
        <f t="shared" ref="M38:M66" si="11">H38-J38-L38-K38</f>
        <v>2861955.7</v>
      </c>
      <c r="N38" s="72">
        <f t="shared" ref="N38:N66" si="12">F38*40/100</f>
        <v>3640000</v>
      </c>
      <c r="O38" s="72">
        <f>1014800</f>
        <v>1014800</v>
      </c>
      <c r="P38" s="72"/>
      <c r="Q38" s="72">
        <f t="shared" si="5"/>
        <v>2625200</v>
      </c>
      <c r="R38" s="72">
        <v>860000</v>
      </c>
      <c r="S38" s="72">
        <f t="shared" si="6"/>
        <v>154800</v>
      </c>
      <c r="T38" s="53">
        <f t="shared" si="7"/>
        <v>0</v>
      </c>
      <c r="U38" s="53">
        <f t="shared" si="10"/>
        <v>6416755.7000000002</v>
      </c>
      <c r="V38" s="53" t="s">
        <v>116</v>
      </c>
      <c r="W38" s="74">
        <v>2625000</v>
      </c>
      <c r="X38" s="75">
        <f t="shared" si="8"/>
        <v>3791755.7</v>
      </c>
    </row>
    <row r="39" spans="1:24" ht="12.95" customHeight="1" x14ac:dyDescent="0.2">
      <c r="A39" s="70">
        <f t="shared" si="9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1"/>
        <v>3939000</v>
      </c>
      <c r="N39" s="72">
        <f t="shared" si="12"/>
        <v>3540000</v>
      </c>
      <c r="O39" s="72"/>
      <c r="P39" s="72"/>
      <c r="Q39" s="72">
        <f t="shared" si="5"/>
        <v>3540000</v>
      </c>
      <c r="R39" s="72">
        <v>0</v>
      </c>
      <c r="S39" s="72">
        <f t="shared" si="6"/>
        <v>0</v>
      </c>
      <c r="T39" s="53">
        <f t="shared" si="7"/>
        <v>0</v>
      </c>
      <c r="U39" s="53">
        <f t="shared" si="10"/>
        <v>5164000</v>
      </c>
      <c r="V39" s="53" t="s">
        <v>116</v>
      </c>
      <c r="W39" s="74">
        <v>5164000</v>
      </c>
      <c r="X39" s="75">
        <f t="shared" si="8"/>
        <v>0</v>
      </c>
    </row>
    <row r="40" spans="1:24" ht="12.95" customHeight="1" x14ac:dyDescent="0.2">
      <c r="A40" s="70">
        <f t="shared" si="9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1"/>
        <v>1118200</v>
      </c>
      <c r="N40" s="72">
        <f t="shared" si="12"/>
        <v>2940000</v>
      </c>
      <c r="O40" s="72">
        <v>808300</v>
      </c>
      <c r="P40" s="72"/>
      <c r="Q40" s="72">
        <f t="shared" si="5"/>
        <v>2131700</v>
      </c>
      <c r="R40" s="74">
        <v>685000</v>
      </c>
      <c r="S40" s="72">
        <f t="shared" ref="S40:S45" si="13">R41*18/100</f>
        <v>150300</v>
      </c>
      <c r="T40" s="53">
        <f t="shared" si="7"/>
        <v>-27000</v>
      </c>
      <c r="U40" s="53">
        <f t="shared" si="10"/>
        <v>4204000</v>
      </c>
      <c r="V40" s="53" t="s">
        <v>116</v>
      </c>
      <c r="W40" s="74">
        <v>4204000</v>
      </c>
      <c r="X40" s="75">
        <f t="shared" si="8"/>
        <v>0</v>
      </c>
    </row>
    <row r="41" spans="1:24" ht="12.95" customHeight="1" x14ac:dyDescent="0.2">
      <c r="A41" s="70">
        <f t="shared" si="9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1225000+3939000+1062000+500000</f>
        <v>6726000</v>
      </c>
      <c r="I41" s="72">
        <f t="shared" si="4"/>
        <v>-1416000</v>
      </c>
      <c r="J41" s="72">
        <f>1225000+1277500</f>
        <v>2502500</v>
      </c>
      <c r="K41" s="72">
        <v>985300</v>
      </c>
      <c r="L41" s="72"/>
      <c r="M41" s="136">
        <f t="shared" si="11"/>
        <v>3238200</v>
      </c>
      <c r="N41" s="72">
        <f t="shared" si="12"/>
        <v>3540000</v>
      </c>
      <c r="O41" s="72">
        <v>985300</v>
      </c>
      <c r="P41" s="72"/>
      <c r="Q41" s="72">
        <f t="shared" si="5"/>
        <v>2554700</v>
      </c>
      <c r="R41" s="72">
        <v>835000</v>
      </c>
      <c r="S41" s="72">
        <f t="shared" si="13"/>
        <v>167400</v>
      </c>
      <c r="T41" s="53">
        <f t="shared" si="7"/>
        <v>-17100</v>
      </c>
      <c r="U41" s="53">
        <f t="shared" si="10"/>
        <v>6726000</v>
      </c>
      <c r="V41" s="53" t="s">
        <v>116</v>
      </c>
      <c r="W41" s="74">
        <v>5164000</v>
      </c>
      <c r="X41" s="75">
        <f t="shared" si="8"/>
        <v>1562000</v>
      </c>
    </row>
    <row r="42" spans="1:24" ht="12.95" customHeight="1" x14ac:dyDescent="0.2">
      <c r="A42" s="70">
        <f t="shared" si="9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1225000+4655000</f>
        <v>5880000</v>
      </c>
      <c r="I42" s="72">
        <f t="shared" si="4"/>
        <v>0</v>
      </c>
      <c r="J42" s="72">
        <f>1420000+4460000</f>
        <v>5880000</v>
      </c>
      <c r="K42" s="72">
        <v>1097400</v>
      </c>
      <c r="L42" s="72"/>
      <c r="M42" s="136">
        <f t="shared" si="11"/>
        <v>-1097400</v>
      </c>
      <c r="N42" s="72">
        <f t="shared" si="12"/>
        <v>3920000</v>
      </c>
      <c r="O42" s="72">
        <v>1097400</v>
      </c>
      <c r="P42" s="72"/>
      <c r="Q42" s="72">
        <f t="shared" si="5"/>
        <v>2822600</v>
      </c>
      <c r="R42" s="72">
        <v>930000</v>
      </c>
      <c r="S42" s="72">
        <f t="shared" si="13"/>
        <v>145800</v>
      </c>
      <c r="T42" s="53">
        <f t="shared" si="7"/>
        <v>21600</v>
      </c>
      <c r="U42" s="53">
        <f t="shared" si="10"/>
        <v>5880000</v>
      </c>
      <c r="V42" s="53" t="s">
        <v>116</v>
      </c>
      <c r="W42" s="74">
        <v>1225000</v>
      </c>
      <c r="X42" s="75">
        <f t="shared" si="8"/>
        <v>4655000</v>
      </c>
    </row>
    <row r="43" spans="1:24" ht="12.95" customHeight="1" x14ac:dyDescent="0.2">
      <c r="A43" s="70">
        <f t="shared" si="9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1225002+995100+2783900</f>
        <v>5004002</v>
      </c>
      <c r="I43" s="72">
        <f t="shared" si="4"/>
        <v>155998</v>
      </c>
      <c r="J43" s="72">
        <f>1225002+1240000</f>
        <v>2465002</v>
      </c>
      <c r="K43" s="72">
        <v>955800</v>
      </c>
      <c r="L43" s="72"/>
      <c r="M43" s="136">
        <f t="shared" si="11"/>
        <v>1583200</v>
      </c>
      <c r="N43" s="72">
        <f t="shared" si="12"/>
        <v>3440000</v>
      </c>
      <c r="O43" s="72">
        <v>955800</v>
      </c>
      <c r="P43" s="72"/>
      <c r="Q43" s="72">
        <f t="shared" si="5"/>
        <v>2484200</v>
      </c>
      <c r="R43" s="72">
        <v>810000</v>
      </c>
      <c r="S43" s="72">
        <f t="shared" si="13"/>
        <v>166050</v>
      </c>
      <c r="T43" s="53">
        <f t="shared" si="7"/>
        <v>-20250</v>
      </c>
      <c r="U43" s="53">
        <f t="shared" si="10"/>
        <v>5004002</v>
      </c>
      <c r="V43" s="53" t="s">
        <v>116</v>
      </c>
      <c r="W43" s="74">
        <v>1225000</v>
      </c>
      <c r="X43" s="75">
        <f t="shared" si="8"/>
        <v>3779002</v>
      </c>
    </row>
    <row r="44" spans="1:24" ht="12.95" customHeight="1" x14ac:dyDescent="0.2">
      <c r="A44" s="70">
        <f t="shared" si="9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1"/>
        <v>1946700</v>
      </c>
      <c r="N44" s="72">
        <f t="shared" si="12"/>
        <v>3090000</v>
      </c>
      <c r="O44" s="72">
        <v>1088550</v>
      </c>
      <c r="P44" s="72"/>
      <c r="Q44" s="72">
        <f t="shared" si="5"/>
        <v>2001450</v>
      </c>
      <c r="R44" s="72">
        <v>922500</v>
      </c>
      <c r="S44" s="72">
        <f t="shared" si="13"/>
        <v>187200</v>
      </c>
      <c r="T44" s="53">
        <f t="shared" si="7"/>
        <v>-21150</v>
      </c>
      <c r="U44" s="53">
        <f t="shared" si="10"/>
        <v>4444000</v>
      </c>
      <c r="V44" s="53" t="s">
        <v>116</v>
      </c>
      <c r="W44" s="74">
        <v>4444000</v>
      </c>
      <c r="X44" s="75">
        <f t="shared" si="8"/>
        <v>0</v>
      </c>
    </row>
    <row r="45" spans="1:24" ht="12.95" customHeight="1" x14ac:dyDescent="0.2">
      <c r="A45" s="70">
        <f t="shared" si="9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1"/>
        <v>4968142</v>
      </c>
      <c r="N45" s="72">
        <f t="shared" si="12"/>
        <v>4360000</v>
      </c>
      <c r="O45" s="72">
        <v>1227200</v>
      </c>
      <c r="P45" s="72"/>
      <c r="Q45" s="72">
        <f t="shared" si="5"/>
        <v>3132800</v>
      </c>
      <c r="R45" s="72">
        <v>1040000</v>
      </c>
      <c r="S45" s="72">
        <f t="shared" si="13"/>
        <v>264600</v>
      </c>
      <c r="T45" s="53">
        <f t="shared" si="7"/>
        <v>-77400</v>
      </c>
      <c r="U45" s="53">
        <f t="shared" si="10"/>
        <v>7784000</v>
      </c>
      <c r="V45" s="53" t="s">
        <v>116</v>
      </c>
      <c r="W45" s="74">
        <v>2355000</v>
      </c>
      <c r="X45" s="75">
        <f t="shared" si="8"/>
        <v>5429000</v>
      </c>
    </row>
    <row r="46" spans="1:24" ht="12.95" customHeight="1" x14ac:dyDescent="0.2">
      <c r="A46" s="70">
        <f t="shared" si="9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1225000+4900000+800000</f>
        <v>6925000</v>
      </c>
      <c r="I46" s="72">
        <f t="shared" si="4"/>
        <v>-2215000</v>
      </c>
      <c r="J46" s="72">
        <v>3480000</v>
      </c>
      <c r="K46" s="72">
        <f>867300+867300</f>
        <v>1734600</v>
      </c>
      <c r="L46" s="72"/>
      <c r="M46" s="72">
        <f t="shared" si="11"/>
        <v>1710400</v>
      </c>
      <c r="N46" s="72">
        <f t="shared" si="12"/>
        <v>3140000</v>
      </c>
      <c r="O46" s="72">
        <f>867300+867300</f>
        <v>1734600</v>
      </c>
      <c r="P46" s="72"/>
      <c r="Q46" s="72">
        <f t="shared" si="5"/>
        <v>1405400</v>
      </c>
      <c r="R46" s="72">
        <v>1470000</v>
      </c>
      <c r="S46" s="72">
        <f>R46*18/100</f>
        <v>264600</v>
      </c>
      <c r="T46" s="53">
        <f t="shared" si="7"/>
        <v>0</v>
      </c>
      <c r="U46" s="53">
        <f t="shared" si="10"/>
        <v>6925000</v>
      </c>
      <c r="V46" s="53" t="s">
        <v>116</v>
      </c>
      <c r="W46" s="74">
        <v>6125000</v>
      </c>
      <c r="X46" s="75">
        <f t="shared" si="8"/>
        <v>800000</v>
      </c>
    </row>
    <row r="47" spans="1:24" ht="12.95" customHeight="1" x14ac:dyDescent="0.2">
      <c r="A47" s="70">
        <f t="shared" si="9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1"/>
        <v>1890800</v>
      </c>
      <c r="N47" s="72">
        <f t="shared" si="12"/>
        <v>3880000</v>
      </c>
      <c r="O47" s="72">
        <f>1085600+1085600</f>
        <v>2171200</v>
      </c>
      <c r="P47" s="72"/>
      <c r="Q47" s="72">
        <f t="shared" si="5"/>
        <v>1708800</v>
      </c>
      <c r="R47" s="72">
        <v>1840000</v>
      </c>
      <c r="S47" s="72">
        <f t="shared" si="6"/>
        <v>331200</v>
      </c>
      <c r="T47" s="53">
        <f t="shared" si="7"/>
        <v>0</v>
      </c>
      <c r="U47" s="53">
        <f t="shared" si="10"/>
        <v>6872000</v>
      </c>
      <c r="V47" s="53" t="s">
        <v>116</v>
      </c>
      <c r="W47" s="74">
        <v>6872000</v>
      </c>
      <c r="X47" s="75">
        <f t="shared" si="8"/>
        <v>0</v>
      </c>
    </row>
    <row r="48" spans="1:24" ht="12.95" customHeight="1" x14ac:dyDescent="0.2">
      <c r="A48" s="70">
        <f t="shared" si="9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1225001+3581100</f>
        <v>4806101</v>
      </c>
      <c r="I48" s="72">
        <f t="shared" si="4"/>
        <v>173899</v>
      </c>
      <c r="J48" s="72">
        <f>1495000+1495000</f>
        <v>2990000</v>
      </c>
      <c r="K48" s="72">
        <f>1156400+1156400</f>
        <v>2312800</v>
      </c>
      <c r="L48" s="72"/>
      <c r="M48" s="136">
        <f t="shared" si="11"/>
        <v>-496699</v>
      </c>
      <c r="N48" s="72">
        <f t="shared" si="12"/>
        <v>3320000</v>
      </c>
      <c r="O48" s="72">
        <f>1156400+1156400</f>
        <v>2312800</v>
      </c>
      <c r="P48" s="72"/>
      <c r="Q48" s="72">
        <f t="shared" si="5"/>
        <v>1007200</v>
      </c>
      <c r="R48" s="72">
        <v>1960000</v>
      </c>
      <c r="S48" s="72">
        <f t="shared" si="6"/>
        <v>352800</v>
      </c>
      <c r="T48" s="53">
        <f t="shared" si="7"/>
        <v>0</v>
      </c>
      <c r="U48" s="53">
        <f t="shared" si="10"/>
        <v>4806101</v>
      </c>
      <c r="V48" s="53" t="s">
        <v>116</v>
      </c>
      <c r="W48" s="74">
        <v>725000</v>
      </c>
      <c r="X48" s="75">
        <f t="shared" si="8"/>
        <v>4081101</v>
      </c>
    </row>
    <row r="49" spans="1:24" ht="12.95" customHeight="1" x14ac:dyDescent="0.2">
      <c r="A49" s="70">
        <f t="shared" si="9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1"/>
        <v>-4062000</v>
      </c>
      <c r="N49" s="72">
        <f t="shared" si="12"/>
        <v>2000000</v>
      </c>
      <c r="O49" s="72">
        <f>1062000</f>
        <v>1062000</v>
      </c>
      <c r="P49" s="72"/>
      <c r="Q49" s="72">
        <f t="shared" si="5"/>
        <v>938000</v>
      </c>
      <c r="R49" s="72">
        <v>900000</v>
      </c>
      <c r="S49" s="72">
        <f t="shared" si="6"/>
        <v>162000</v>
      </c>
      <c r="T49" s="53">
        <f t="shared" si="7"/>
        <v>0</v>
      </c>
      <c r="U49" s="53">
        <f t="shared" si="10"/>
        <v>0</v>
      </c>
      <c r="V49" s="53"/>
      <c r="W49" s="74">
        <v>4260007</v>
      </c>
      <c r="X49" s="75">
        <f t="shared" si="8"/>
        <v>-4260007</v>
      </c>
    </row>
    <row r="50" spans="1:24" ht="12.95" customHeight="1" x14ac:dyDescent="0.2">
      <c r="A50" s="70">
        <f t="shared" si="9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>
        <v>6525000</v>
      </c>
      <c r="K50" s="72"/>
      <c r="L50" s="72"/>
      <c r="M50" s="72">
        <f t="shared" si="11"/>
        <v>-65000</v>
      </c>
      <c r="N50" s="72">
        <f t="shared" si="12"/>
        <v>4350000</v>
      </c>
      <c r="O50" s="72"/>
      <c r="P50" s="72"/>
      <c r="Q50" s="72">
        <f t="shared" si="5"/>
        <v>4350000</v>
      </c>
      <c r="R50" s="72">
        <v>0</v>
      </c>
      <c r="S50" s="72">
        <f t="shared" si="6"/>
        <v>0</v>
      </c>
      <c r="T50" s="53">
        <f t="shared" si="7"/>
        <v>0</v>
      </c>
      <c r="U50" s="53">
        <f t="shared" si="10"/>
        <v>6460000</v>
      </c>
      <c r="V50" s="53" t="s">
        <v>116</v>
      </c>
      <c r="W50" s="74">
        <v>1225000</v>
      </c>
      <c r="X50" s="75">
        <f t="shared" si="8"/>
        <v>5235000</v>
      </c>
    </row>
    <row r="51" spans="1:24" ht="12.95" customHeight="1" x14ac:dyDescent="0.2">
      <c r="A51" s="70">
        <f t="shared" si="9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73">
        <v>10900000</v>
      </c>
      <c r="G51" s="72">
        <f t="shared" si="3"/>
        <v>6540000</v>
      </c>
      <c r="H51" s="72">
        <f>725000+500000+500000+500000+500000+75000+3740000-93123</f>
        <v>6446877</v>
      </c>
      <c r="I51" s="72">
        <f t="shared" si="4"/>
        <v>93123</v>
      </c>
      <c r="J51" s="72">
        <v>6540000</v>
      </c>
      <c r="K51" s="72"/>
      <c r="L51" s="72"/>
      <c r="M51" s="136">
        <f t="shared" si="11"/>
        <v>-93123</v>
      </c>
      <c r="N51" s="72">
        <f t="shared" si="12"/>
        <v>4360000</v>
      </c>
      <c r="O51" s="72"/>
      <c r="P51" s="72"/>
      <c r="Q51" s="72">
        <f t="shared" si="5"/>
        <v>4360000</v>
      </c>
      <c r="R51" s="72">
        <v>0</v>
      </c>
      <c r="S51" s="72">
        <f t="shared" si="6"/>
        <v>0</v>
      </c>
      <c r="T51" s="53">
        <f t="shared" si="7"/>
        <v>0</v>
      </c>
      <c r="U51" s="53"/>
      <c r="V51" s="53" t="s">
        <v>116</v>
      </c>
      <c r="W51" s="74">
        <v>725000</v>
      </c>
      <c r="X51" s="75">
        <f t="shared" si="8"/>
        <v>-725000</v>
      </c>
    </row>
    <row r="52" spans="1:24" ht="12.95" customHeight="1" x14ac:dyDescent="0.2">
      <c r="A52" s="70">
        <f t="shared" si="9"/>
        <v>47</v>
      </c>
      <c r="B52" s="71">
        <v>169</v>
      </c>
      <c r="C52" s="64">
        <v>2040</v>
      </c>
      <c r="D52" s="72" t="s">
        <v>109</v>
      </c>
      <c r="E52" s="71" t="s">
        <v>93</v>
      </c>
      <c r="F52" s="73">
        <v>11350000</v>
      </c>
      <c r="G52" s="72">
        <f t="shared" si="3"/>
        <v>6810000</v>
      </c>
      <c r="H52" s="72">
        <f>225000+1000000+5539000</f>
        <v>6764000</v>
      </c>
      <c r="I52" s="72">
        <f t="shared" si="4"/>
        <v>46000</v>
      </c>
      <c r="J52" s="72">
        <v>6810000</v>
      </c>
      <c r="K52" s="72"/>
      <c r="L52" s="72"/>
      <c r="M52" s="72">
        <f t="shared" si="11"/>
        <v>-46000</v>
      </c>
      <c r="N52" s="72">
        <f t="shared" si="12"/>
        <v>4540000</v>
      </c>
      <c r="O52" s="72"/>
      <c r="P52" s="72"/>
      <c r="Q52" s="72">
        <f t="shared" si="5"/>
        <v>4540000</v>
      </c>
      <c r="R52" s="72">
        <v>0</v>
      </c>
      <c r="S52" s="72">
        <f t="shared" si="6"/>
        <v>0</v>
      </c>
      <c r="T52" s="53">
        <f t="shared" si="7"/>
        <v>0</v>
      </c>
      <c r="U52" s="53">
        <f t="shared" si="10"/>
        <v>6764000</v>
      </c>
      <c r="V52" s="53" t="s">
        <v>116</v>
      </c>
      <c r="W52" s="74">
        <v>225000</v>
      </c>
      <c r="X52" s="75">
        <f t="shared" si="8"/>
        <v>6539000</v>
      </c>
    </row>
    <row r="53" spans="1:24" ht="12.95" customHeight="1" x14ac:dyDescent="0.2">
      <c r="A53" s="70">
        <f t="shared" si="9"/>
        <v>48</v>
      </c>
      <c r="B53" s="71">
        <v>170</v>
      </c>
      <c r="C53" s="64">
        <v>2040</v>
      </c>
      <c r="D53" s="72" t="s">
        <v>109</v>
      </c>
      <c r="E53" s="71" t="s">
        <v>94</v>
      </c>
      <c r="F53" s="73">
        <v>10400000</v>
      </c>
      <c r="G53" s="72">
        <f t="shared" si="3"/>
        <v>6240000</v>
      </c>
      <c r="H53" s="72">
        <f>1425000+946200+3784800</f>
        <v>6156000</v>
      </c>
      <c r="I53" s="72">
        <f t="shared" si="4"/>
        <v>84000</v>
      </c>
      <c r="J53" s="72">
        <v>6156000</v>
      </c>
      <c r="K53" s="72"/>
      <c r="L53" s="72"/>
      <c r="M53" s="136">
        <f t="shared" si="11"/>
        <v>0</v>
      </c>
      <c r="N53" s="72">
        <f t="shared" si="12"/>
        <v>4160000</v>
      </c>
      <c r="O53" s="72"/>
      <c r="P53" s="72"/>
      <c r="Q53" s="72">
        <f t="shared" si="5"/>
        <v>4160000</v>
      </c>
      <c r="R53" s="72">
        <v>0</v>
      </c>
      <c r="S53" s="72">
        <f t="shared" si="6"/>
        <v>0</v>
      </c>
      <c r="T53" s="53">
        <f t="shared" si="7"/>
        <v>0</v>
      </c>
      <c r="U53" s="53">
        <f t="shared" si="10"/>
        <v>6156000</v>
      </c>
      <c r="V53" s="53" t="s">
        <v>116</v>
      </c>
      <c r="W53" s="74">
        <v>1425000</v>
      </c>
      <c r="X53" s="75">
        <f t="shared" si="8"/>
        <v>4731000</v>
      </c>
    </row>
    <row r="54" spans="1:24" ht="12.95" customHeight="1" x14ac:dyDescent="0.2">
      <c r="A54" s="70">
        <f t="shared" si="9"/>
        <v>49</v>
      </c>
      <c r="B54" s="71">
        <v>171</v>
      </c>
      <c r="C54" s="64">
        <v>2040</v>
      </c>
      <c r="D54" s="72" t="s">
        <v>109</v>
      </c>
      <c r="E54" s="71" t="s">
        <v>95</v>
      </c>
      <c r="F54" s="73">
        <v>11400000</v>
      </c>
      <c r="G54" s="72">
        <f t="shared" si="3"/>
        <v>6840000</v>
      </c>
      <c r="H54" s="72">
        <f>225000+1000000+5571000</f>
        <v>6796000</v>
      </c>
      <c r="I54" s="72">
        <f t="shared" si="4"/>
        <v>44000</v>
      </c>
      <c r="J54" s="72">
        <v>6840000</v>
      </c>
      <c r="K54" s="72"/>
      <c r="L54" s="72"/>
      <c r="M54" s="72">
        <f t="shared" si="11"/>
        <v>-44000</v>
      </c>
      <c r="N54" s="72">
        <f t="shared" si="12"/>
        <v>4560000</v>
      </c>
      <c r="O54" s="72"/>
      <c r="P54" s="72"/>
      <c r="Q54" s="72">
        <f t="shared" si="5"/>
        <v>4560000</v>
      </c>
      <c r="R54" s="72">
        <v>0</v>
      </c>
      <c r="S54" s="72">
        <f t="shared" si="6"/>
        <v>0</v>
      </c>
      <c r="T54" s="53">
        <f t="shared" si="7"/>
        <v>0</v>
      </c>
      <c r="U54" s="53">
        <f t="shared" si="10"/>
        <v>6796000</v>
      </c>
      <c r="V54" s="53" t="s">
        <v>116</v>
      </c>
      <c r="W54" s="74">
        <v>225000</v>
      </c>
      <c r="X54" s="75">
        <f t="shared" si="8"/>
        <v>6571000</v>
      </c>
    </row>
    <row r="55" spans="1:24" ht="12.95" customHeight="1" x14ac:dyDescent="0.2">
      <c r="A55" s="70">
        <f t="shared" si="9"/>
        <v>50</v>
      </c>
      <c r="B55" s="71">
        <v>174</v>
      </c>
      <c r="C55" s="64">
        <v>2040</v>
      </c>
      <c r="D55" s="72" t="s">
        <v>109</v>
      </c>
      <c r="E55" s="71" t="s">
        <v>96</v>
      </c>
      <c r="F55" s="73">
        <v>10000000</v>
      </c>
      <c r="G55" s="72">
        <f t="shared" si="3"/>
        <v>6000000</v>
      </c>
      <c r="H55" s="72">
        <f>1225000+2000000+2000000</f>
        <v>5225000</v>
      </c>
      <c r="I55" s="72">
        <f t="shared" si="4"/>
        <v>775000</v>
      </c>
      <c r="J55" s="72"/>
      <c r="K55" s="72"/>
      <c r="L55" s="72"/>
      <c r="M55" s="136">
        <f t="shared" si="11"/>
        <v>5225000</v>
      </c>
      <c r="N55" s="72">
        <f t="shared" si="12"/>
        <v>4000000</v>
      </c>
      <c r="O55" s="72"/>
      <c r="P55" s="72"/>
      <c r="Q55" s="72">
        <f t="shared" si="5"/>
        <v>4000000</v>
      </c>
      <c r="R55" s="72">
        <v>0</v>
      </c>
      <c r="S55" s="72">
        <f t="shared" si="6"/>
        <v>0</v>
      </c>
      <c r="T55" s="53">
        <f t="shared" si="7"/>
        <v>0</v>
      </c>
      <c r="U55" s="53">
        <f t="shared" si="10"/>
        <v>5225000</v>
      </c>
      <c r="V55" s="53" t="s">
        <v>116</v>
      </c>
      <c r="W55" s="74">
        <v>1225000</v>
      </c>
      <c r="X55" s="75">
        <f t="shared" si="8"/>
        <v>4000000</v>
      </c>
    </row>
    <row r="56" spans="1:24" ht="12.95" customHeight="1" x14ac:dyDescent="0.2">
      <c r="A56" s="70">
        <f t="shared" si="9"/>
        <v>51</v>
      </c>
      <c r="B56" s="71">
        <v>175</v>
      </c>
      <c r="C56" s="64">
        <v>2040</v>
      </c>
      <c r="D56" s="72" t="s">
        <v>109</v>
      </c>
      <c r="E56" s="71" t="s">
        <v>97</v>
      </c>
      <c r="F56" s="73">
        <v>10875000</v>
      </c>
      <c r="G56" s="72">
        <f t="shared" si="3"/>
        <v>6525000</v>
      </c>
      <c r="H56" s="72">
        <f>1225000+500000+4700000</f>
        <v>6425000</v>
      </c>
      <c r="I56" s="72">
        <f t="shared" si="4"/>
        <v>100000</v>
      </c>
      <c r="J56" s="72">
        <v>6525000</v>
      </c>
      <c r="K56" s="72"/>
      <c r="L56" s="72"/>
      <c r="M56" s="72">
        <f t="shared" si="11"/>
        <v>-100000</v>
      </c>
      <c r="N56" s="72">
        <f t="shared" si="12"/>
        <v>4350000</v>
      </c>
      <c r="O56" s="72"/>
      <c r="P56" s="72"/>
      <c r="Q56" s="72">
        <f t="shared" si="5"/>
        <v>4350000</v>
      </c>
      <c r="R56" s="72">
        <v>0</v>
      </c>
      <c r="S56" s="72">
        <f t="shared" si="6"/>
        <v>0</v>
      </c>
      <c r="T56" s="53">
        <f t="shared" si="7"/>
        <v>0</v>
      </c>
      <c r="U56" s="53">
        <f t="shared" si="10"/>
        <v>6425000</v>
      </c>
      <c r="V56" s="53" t="s">
        <v>116</v>
      </c>
      <c r="W56" s="74">
        <v>1225000</v>
      </c>
      <c r="X56" s="75">
        <f t="shared" si="8"/>
        <v>5200000</v>
      </c>
    </row>
    <row r="57" spans="1:24" ht="12.95" customHeight="1" x14ac:dyDescent="0.2">
      <c r="A57" s="70">
        <f t="shared" si="9"/>
        <v>52</v>
      </c>
      <c r="B57" s="71">
        <v>176</v>
      </c>
      <c r="C57" s="64">
        <v>2040</v>
      </c>
      <c r="D57" s="72" t="s">
        <v>109</v>
      </c>
      <c r="E57" s="71" t="s">
        <v>98</v>
      </c>
      <c r="F57" s="73">
        <v>10000000</v>
      </c>
      <c r="G57" s="72">
        <f t="shared" si="3"/>
        <v>6000000</v>
      </c>
      <c r="H57" s="72">
        <f>5875000+972000</f>
        <v>6847000</v>
      </c>
      <c r="I57" s="72">
        <f t="shared" si="4"/>
        <v>-847000</v>
      </c>
      <c r="J57" s="72">
        <v>6000000</v>
      </c>
      <c r="K57" s="72"/>
      <c r="L57" s="72"/>
      <c r="M57" s="72">
        <f t="shared" si="11"/>
        <v>847000</v>
      </c>
      <c r="N57" s="72">
        <f t="shared" si="12"/>
        <v>4000000</v>
      </c>
      <c r="O57" s="72"/>
      <c r="P57" s="72"/>
      <c r="Q57" s="72">
        <f t="shared" si="5"/>
        <v>4000000</v>
      </c>
      <c r="R57" s="72">
        <v>0</v>
      </c>
      <c r="S57" s="72">
        <f t="shared" si="6"/>
        <v>0</v>
      </c>
      <c r="T57" s="53">
        <f t="shared" si="7"/>
        <v>0</v>
      </c>
      <c r="U57" s="53">
        <f t="shared" si="10"/>
        <v>6847000</v>
      </c>
      <c r="V57" s="53" t="s">
        <v>116</v>
      </c>
      <c r="W57" s="74">
        <v>1225000</v>
      </c>
      <c r="X57" s="75">
        <f t="shared" si="8"/>
        <v>5622000</v>
      </c>
    </row>
    <row r="58" spans="1:24" ht="12.95" customHeight="1" x14ac:dyDescent="0.2">
      <c r="A58" s="70">
        <f t="shared" si="9"/>
        <v>53</v>
      </c>
      <c r="B58" s="71">
        <v>177</v>
      </c>
      <c r="C58" s="64">
        <v>2040</v>
      </c>
      <c r="D58" s="72" t="s">
        <v>109</v>
      </c>
      <c r="E58" s="71" t="s">
        <v>99</v>
      </c>
      <c r="F58" s="73">
        <v>8500000</v>
      </c>
      <c r="G58" s="72">
        <f t="shared" si="3"/>
        <v>5100000</v>
      </c>
      <c r="H58" s="72">
        <f>3825000+350000+225000</f>
        <v>4400000</v>
      </c>
      <c r="I58" s="72">
        <f t="shared" si="4"/>
        <v>700000</v>
      </c>
      <c r="J58" s="72"/>
      <c r="K58" s="72"/>
      <c r="L58" s="72"/>
      <c r="M58" s="136">
        <f t="shared" si="11"/>
        <v>4400000</v>
      </c>
      <c r="N58" s="72">
        <f t="shared" si="12"/>
        <v>3400000</v>
      </c>
      <c r="O58" s="72"/>
      <c r="P58" s="72"/>
      <c r="Q58" s="72">
        <f t="shared" si="5"/>
        <v>3400000</v>
      </c>
      <c r="R58" s="72">
        <v>0</v>
      </c>
      <c r="S58" s="72">
        <f t="shared" si="6"/>
        <v>0</v>
      </c>
      <c r="T58" s="53">
        <f t="shared" si="7"/>
        <v>0</v>
      </c>
      <c r="U58" s="53">
        <f t="shared" si="10"/>
        <v>4400000</v>
      </c>
      <c r="V58" s="53" t="s">
        <v>116</v>
      </c>
      <c r="W58" s="74">
        <v>1225000</v>
      </c>
      <c r="X58" s="75">
        <f t="shared" si="8"/>
        <v>3175000</v>
      </c>
    </row>
    <row r="59" spans="1:24" ht="12.95" customHeight="1" x14ac:dyDescent="0.2">
      <c r="A59" s="70">
        <f t="shared" si="9"/>
        <v>54</v>
      </c>
      <c r="B59" s="71">
        <v>178</v>
      </c>
      <c r="C59" s="64">
        <v>2040</v>
      </c>
      <c r="D59" s="72" t="s">
        <v>109</v>
      </c>
      <c r="E59" s="71" t="s">
        <v>100</v>
      </c>
      <c r="F59" s="73">
        <v>12400000</v>
      </c>
      <c r="G59" s="72">
        <f t="shared" si="3"/>
        <v>7440000</v>
      </c>
      <c r="H59" s="72">
        <f>2425000+4000000+1011000</f>
        <v>7436000</v>
      </c>
      <c r="I59" s="72">
        <f t="shared" si="4"/>
        <v>4000</v>
      </c>
      <c r="J59" s="72">
        <v>7440000</v>
      </c>
      <c r="K59" s="72"/>
      <c r="L59" s="72"/>
      <c r="M59" s="136">
        <f t="shared" si="11"/>
        <v>-4000</v>
      </c>
      <c r="N59" s="72">
        <f t="shared" si="12"/>
        <v>4960000</v>
      </c>
      <c r="O59" s="72"/>
      <c r="P59" s="72"/>
      <c r="Q59" s="72">
        <f t="shared" si="5"/>
        <v>4960000</v>
      </c>
      <c r="R59" s="72">
        <v>0</v>
      </c>
      <c r="S59" s="72">
        <f t="shared" si="6"/>
        <v>0</v>
      </c>
      <c r="T59" s="53">
        <f t="shared" si="7"/>
        <v>0</v>
      </c>
      <c r="U59" s="53">
        <f t="shared" si="10"/>
        <v>7436000</v>
      </c>
      <c r="V59" s="53" t="s">
        <v>117</v>
      </c>
      <c r="W59" s="74">
        <v>225000</v>
      </c>
      <c r="X59" s="75">
        <f t="shared" si="8"/>
        <v>7211000</v>
      </c>
    </row>
    <row r="60" spans="1:24" ht="12.95" customHeight="1" x14ac:dyDescent="0.2">
      <c r="A60" s="70">
        <f t="shared" si="9"/>
        <v>55</v>
      </c>
      <c r="B60" s="71">
        <v>179</v>
      </c>
      <c r="C60" s="64">
        <v>2040</v>
      </c>
      <c r="D60" s="72" t="s">
        <v>109</v>
      </c>
      <c r="E60" s="71" t="s">
        <v>101</v>
      </c>
      <c r="F60" s="73">
        <v>9800000</v>
      </c>
      <c r="G60" s="72">
        <f t="shared" si="3"/>
        <v>5880000</v>
      </c>
      <c r="H60" s="72">
        <f>6025000</f>
        <v>6025000</v>
      </c>
      <c r="I60" s="72">
        <f t="shared" si="4"/>
        <v>-145000</v>
      </c>
      <c r="J60" s="72">
        <v>5880000</v>
      </c>
      <c r="K60" s="72"/>
      <c r="L60" s="72">
        <v>3658</v>
      </c>
      <c r="M60" s="72">
        <f t="shared" si="11"/>
        <v>141342</v>
      </c>
      <c r="N60" s="72">
        <f t="shared" si="12"/>
        <v>3920000</v>
      </c>
      <c r="O60" s="72"/>
      <c r="P60" s="72"/>
      <c r="Q60" s="72">
        <f t="shared" si="5"/>
        <v>3920000</v>
      </c>
      <c r="R60" s="72">
        <v>0</v>
      </c>
      <c r="S60" s="72">
        <f t="shared" si="6"/>
        <v>0</v>
      </c>
      <c r="T60" s="53">
        <f t="shared" si="7"/>
        <v>0</v>
      </c>
      <c r="U60" s="53">
        <f t="shared" si="10"/>
        <v>6025000</v>
      </c>
      <c r="V60" s="53" t="s">
        <v>116</v>
      </c>
      <c r="W60" s="74">
        <v>1225000</v>
      </c>
      <c r="X60" s="75">
        <f t="shared" si="8"/>
        <v>4800000</v>
      </c>
    </row>
    <row r="61" spans="1:24" ht="12.95" customHeight="1" x14ac:dyDescent="0.2">
      <c r="A61" s="70">
        <f t="shared" si="9"/>
        <v>56</v>
      </c>
      <c r="B61" s="71">
        <v>180</v>
      </c>
      <c r="C61" s="64">
        <v>2040</v>
      </c>
      <c r="D61" s="72" t="s">
        <v>109</v>
      </c>
      <c r="E61" s="71" t="s">
        <v>102</v>
      </c>
      <c r="F61" s="73">
        <v>9800000</v>
      </c>
      <c r="G61" s="72">
        <f t="shared" si="3"/>
        <v>5880000</v>
      </c>
      <c r="H61" s="72">
        <f>225000+5547000</f>
        <v>5772000</v>
      </c>
      <c r="I61" s="72">
        <f t="shared" si="4"/>
        <v>108000</v>
      </c>
      <c r="J61" s="72">
        <f>225000+992200</f>
        <v>1217200</v>
      </c>
      <c r="K61" s="72">
        <v>760864</v>
      </c>
      <c r="L61" s="72"/>
      <c r="M61" s="72">
        <f t="shared" si="11"/>
        <v>3793936</v>
      </c>
      <c r="N61" s="72">
        <f t="shared" si="12"/>
        <v>3920000</v>
      </c>
      <c r="O61" s="72">
        <v>760864</v>
      </c>
      <c r="P61" s="72">
        <v>1176000</v>
      </c>
      <c r="Q61" s="72">
        <f t="shared" si="5"/>
        <v>1983136</v>
      </c>
      <c r="R61" s="72">
        <v>1289600</v>
      </c>
      <c r="S61" s="72">
        <f t="shared" si="6"/>
        <v>232128</v>
      </c>
      <c r="T61" s="53">
        <f t="shared" si="7"/>
        <v>415136</v>
      </c>
      <c r="U61" s="53">
        <f t="shared" si="10"/>
        <v>6948000</v>
      </c>
      <c r="V61" s="53" t="s">
        <v>116</v>
      </c>
      <c r="W61" s="74">
        <v>5772000</v>
      </c>
      <c r="X61" s="75">
        <f t="shared" si="8"/>
        <v>1176000</v>
      </c>
    </row>
    <row r="62" spans="1:24" ht="12.95" customHeight="1" x14ac:dyDescent="0.2">
      <c r="A62" s="70">
        <f t="shared" si="9"/>
        <v>57</v>
      </c>
      <c r="B62" s="71">
        <v>181</v>
      </c>
      <c r="C62" s="64">
        <v>2040</v>
      </c>
      <c r="D62" s="72" t="s">
        <v>109</v>
      </c>
      <c r="E62" s="71" t="s">
        <v>103</v>
      </c>
      <c r="F62" s="73">
        <v>9600000</v>
      </c>
      <c r="G62" s="72">
        <f t="shared" si="3"/>
        <v>5760000</v>
      </c>
      <c r="H62" s="72">
        <f>1000000+5346451</f>
        <v>6346451</v>
      </c>
      <c r="I62" s="72">
        <f t="shared" si="4"/>
        <v>-586451</v>
      </c>
      <c r="J62" s="72">
        <f>1000000+1390000</f>
        <v>2390000</v>
      </c>
      <c r="K62" s="54">
        <v>1073800</v>
      </c>
      <c r="L62" s="72"/>
      <c r="M62" s="72">
        <f t="shared" si="11"/>
        <v>2882651</v>
      </c>
      <c r="N62" s="72">
        <f t="shared" si="12"/>
        <v>3840000</v>
      </c>
      <c r="O62" s="54">
        <v>1073800</v>
      </c>
      <c r="P62" s="72">
        <v>1152000</v>
      </c>
      <c r="Q62" s="72">
        <f t="shared" si="5"/>
        <v>1614200</v>
      </c>
      <c r="R62" s="72">
        <v>1820000</v>
      </c>
      <c r="S62" s="72">
        <f t="shared" si="6"/>
        <v>327600</v>
      </c>
      <c r="T62" s="53">
        <f t="shared" si="7"/>
        <v>78200</v>
      </c>
      <c r="U62" s="53">
        <f t="shared" si="10"/>
        <v>7498451</v>
      </c>
      <c r="V62" s="53" t="s">
        <v>117</v>
      </c>
      <c r="W62" s="74">
        <v>5546450</v>
      </c>
      <c r="X62" s="75">
        <f t="shared" si="8"/>
        <v>1952001</v>
      </c>
    </row>
    <row r="63" spans="1:24" ht="12.95" customHeight="1" x14ac:dyDescent="0.2">
      <c r="A63" s="70">
        <f t="shared" si="9"/>
        <v>58</v>
      </c>
      <c r="B63" s="71">
        <v>182</v>
      </c>
      <c r="C63" s="64">
        <v>2040</v>
      </c>
      <c r="D63" s="72" t="s">
        <v>109</v>
      </c>
      <c r="E63" s="71" t="s">
        <v>104</v>
      </c>
      <c r="F63" s="73">
        <v>9950000</v>
      </c>
      <c r="G63" s="72">
        <f t="shared" si="3"/>
        <v>5970000</v>
      </c>
      <c r="H63" s="72">
        <f>6068000+200000+200000</f>
        <v>6468000</v>
      </c>
      <c r="I63" s="72">
        <f t="shared" si="4"/>
        <v>-498000</v>
      </c>
      <c r="J63" s="72">
        <f>1442500</f>
        <v>1442500</v>
      </c>
      <c r="K63" s="72">
        <v>1115100</v>
      </c>
      <c r="L63" s="72"/>
      <c r="M63" s="136">
        <f t="shared" si="11"/>
        <v>3910400</v>
      </c>
      <c r="N63" s="72">
        <f t="shared" si="12"/>
        <v>3980000</v>
      </c>
      <c r="O63" s="72">
        <v>1115100</v>
      </c>
      <c r="P63" s="72">
        <v>1194000</v>
      </c>
      <c r="Q63" s="72">
        <f t="shared" si="5"/>
        <v>1670900</v>
      </c>
      <c r="R63" s="72">
        <v>1890000</v>
      </c>
      <c r="S63" s="72">
        <f t="shared" si="6"/>
        <v>340200</v>
      </c>
      <c r="T63" s="53">
        <f t="shared" si="7"/>
        <v>78900</v>
      </c>
      <c r="U63" s="53">
        <f t="shared" si="10"/>
        <v>7662000</v>
      </c>
      <c r="V63" s="53" t="s">
        <v>116</v>
      </c>
      <c r="W63" s="74">
        <v>6068000</v>
      </c>
      <c r="X63" s="75">
        <f t="shared" si="8"/>
        <v>1594000</v>
      </c>
    </row>
    <row r="64" spans="1:24" ht="12.95" customHeight="1" x14ac:dyDescent="0.2">
      <c r="A64" s="70">
        <f t="shared" si="9"/>
        <v>59</v>
      </c>
      <c r="B64" s="71">
        <v>183</v>
      </c>
      <c r="C64" s="64">
        <v>2040</v>
      </c>
      <c r="D64" s="72" t="s">
        <v>109</v>
      </c>
      <c r="E64" s="71" t="s">
        <v>105</v>
      </c>
      <c r="F64" s="73">
        <v>10000000</v>
      </c>
      <c r="G64" s="72">
        <f t="shared" si="3"/>
        <v>6000000</v>
      </c>
      <c r="H64" s="72">
        <f>7100000+1200000</f>
        <v>8300000</v>
      </c>
      <c r="I64" s="72">
        <f t="shared" si="4"/>
        <v>-2300000</v>
      </c>
      <c r="J64" s="72">
        <f>1450000+4500000</f>
        <v>5950000</v>
      </c>
      <c r="K64" s="72">
        <v>1121000</v>
      </c>
      <c r="L64" s="72"/>
      <c r="M64" s="72">
        <f t="shared" si="11"/>
        <v>1229000</v>
      </c>
      <c r="N64" s="72">
        <f t="shared" si="12"/>
        <v>4000000</v>
      </c>
      <c r="O64" s="72">
        <v>1121000</v>
      </c>
      <c r="P64" s="72">
        <v>0</v>
      </c>
      <c r="Q64" s="72">
        <f t="shared" si="5"/>
        <v>2879000</v>
      </c>
      <c r="R64" s="72">
        <v>950000</v>
      </c>
      <c r="S64" s="72">
        <f t="shared" si="6"/>
        <v>171000</v>
      </c>
      <c r="T64" s="53">
        <f t="shared" si="7"/>
        <v>0</v>
      </c>
      <c r="U64" s="53">
        <f t="shared" si="10"/>
        <v>8300000</v>
      </c>
      <c r="V64" s="53" t="s">
        <v>116</v>
      </c>
      <c r="W64" s="74">
        <v>5900000</v>
      </c>
      <c r="X64" s="75">
        <f t="shared" si="8"/>
        <v>2400000</v>
      </c>
    </row>
    <row r="65" spans="1:24" ht="12.95" customHeight="1" x14ac:dyDescent="0.2">
      <c r="A65" s="70">
        <f t="shared" si="9"/>
        <v>60</v>
      </c>
      <c r="B65" s="71">
        <v>184</v>
      </c>
      <c r="C65" s="64">
        <v>2040</v>
      </c>
      <c r="D65" s="72" t="s">
        <v>109</v>
      </c>
      <c r="E65" s="71" t="s">
        <v>106</v>
      </c>
      <c r="F65" s="73">
        <v>10000000</v>
      </c>
      <c r="G65" s="72">
        <f t="shared" si="3"/>
        <v>6000000</v>
      </c>
      <c r="H65" s="72">
        <v>5900000</v>
      </c>
      <c r="I65" s="72">
        <f t="shared" si="4"/>
        <v>100000</v>
      </c>
      <c r="J65" s="72">
        <v>1450000</v>
      </c>
      <c r="K65" s="72">
        <v>1121000</v>
      </c>
      <c r="L65" s="72"/>
      <c r="M65" s="72">
        <f t="shared" si="11"/>
        <v>3329000</v>
      </c>
      <c r="N65" s="72">
        <f t="shared" si="12"/>
        <v>4000000</v>
      </c>
      <c r="O65" s="72">
        <v>1121000</v>
      </c>
      <c r="P65" s="72">
        <v>1200000</v>
      </c>
      <c r="Q65" s="72">
        <f t="shared" si="5"/>
        <v>1679000</v>
      </c>
      <c r="R65" s="72">
        <v>1900000</v>
      </c>
      <c r="S65" s="72">
        <f t="shared" si="6"/>
        <v>342000</v>
      </c>
      <c r="T65" s="53">
        <f t="shared" si="7"/>
        <v>79000</v>
      </c>
      <c r="U65" s="53">
        <f t="shared" si="10"/>
        <v>7100000</v>
      </c>
      <c r="V65" s="53" t="s">
        <v>116</v>
      </c>
      <c r="W65" s="74">
        <v>5900000</v>
      </c>
      <c r="X65" s="75">
        <f t="shared" si="8"/>
        <v>1200000</v>
      </c>
    </row>
    <row r="66" spans="1:24" ht="12.95" customHeight="1" x14ac:dyDescent="0.2">
      <c r="A66" s="70">
        <f t="shared" si="9"/>
        <v>61</v>
      </c>
      <c r="B66" s="71">
        <v>185</v>
      </c>
      <c r="C66" s="64">
        <v>2040</v>
      </c>
      <c r="D66" s="72" t="s">
        <v>109</v>
      </c>
      <c r="E66" s="71" t="s">
        <v>107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1"/>
        <v>3329000</v>
      </c>
      <c r="N66" s="72">
        <f t="shared" si="12"/>
        <v>4000000</v>
      </c>
      <c r="O66" s="72">
        <v>1121000</v>
      </c>
      <c r="P66" s="72">
        <v>0</v>
      </c>
      <c r="Q66" s="72">
        <f t="shared" si="5"/>
        <v>2879000</v>
      </c>
      <c r="R66" s="72">
        <v>950000</v>
      </c>
      <c r="S66" s="72">
        <f t="shared" si="6"/>
        <v>171000</v>
      </c>
      <c r="T66" s="53">
        <f t="shared" si="7"/>
        <v>0</v>
      </c>
      <c r="U66" s="53">
        <f t="shared" si="10"/>
        <v>5900000</v>
      </c>
      <c r="V66" s="53" t="s">
        <v>116</v>
      </c>
      <c r="W66" s="74">
        <v>5900000</v>
      </c>
      <c r="X66" s="75">
        <f t="shared" si="8"/>
        <v>0</v>
      </c>
    </row>
    <row r="67" spans="1:24" ht="12.95" customHeight="1" x14ac:dyDescent="0.2">
      <c r="A67" s="70"/>
      <c r="B67" s="71"/>
      <c r="C67" s="64"/>
      <c r="D67" s="72"/>
      <c r="E67" s="71"/>
      <c r="F67" s="73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>
        <f t="shared" ref="Q67" si="14">N67-P67</f>
        <v>0</v>
      </c>
      <c r="R67" s="72"/>
      <c r="S67" s="72">
        <f t="shared" si="6"/>
        <v>0</v>
      </c>
      <c r="T67" s="53">
        <f t="shared" ref="T67" si="15">P67-R67-S67</f>
        <v>0</v>
      </c>
      <c r="U67" s="53"/>
      <c r="V67" s="53"/>
      <c r="W67" s="74"/>
      <c r="X67" s="75"/>
    </row>
    <row r="68" spans="1:24" ht="12.95" customHeight="1" x14ac:dyDescent="0.2">
      <c r="A68" s="64"/>
      <c r="B68" s="77" t="s">
        <v>22</v>
      </c>
      <c r="C68" s="52"/>
      <c r="D68" s="72"/>
      <c r="E68" s="54"/>
      <c r="F68" s="52">
        <f>SUM(F6:F66)</f>
        <v>561511000</v>
      </c>
      <c r="G68" s="52">
        <f t="shared" ref="G68:P68" si="16">SUM(G6:G66)</f>
        <v>336906600</v>
      </c>
      <c r="H68" s="52">
        <f t="shared" si="16"/>
        <v>365910753.69999999</v>
      </c>
      <c r="I68" s="52">
        <f t="shared" si="16"/>
        <v>-29004153.699999999</v>
      </c>
      <c r="J68" s="52">
        <f t="shared" si="16"/>
        <v>237852613</v>
      </c>
      <c r="K68" s="52">
        <f t="shared" si="16"/>
        <v>75143425</v>
      </c>
      <c r="L68" s="52"/>
      <c r="M68" s="52">
        <f t="shared" si="16"/>
        <v>52890761.700000003</v>
      </c>
      <c r="N68" s="52">
        <f t="shared" si="16"/>
        <v>224604400</v>
      </c>
      <c r="O68" s="52"/>
      <c r="P68" s="52">
        <f t="shared" si="16"/>
        <v>16492408</v>
      </c>
      <c r="Q68" s="52"/>
      <c r="R68" s="52">
        <f>SUM(R6:R66)</f>
        <v>70693200</v>
      </c>
      <c r="S68" s="52">
        <f t="shared" ref="S68:T68" si="17">SUM(S6:S66)</f>
        <v>12866076</v>
      </c>
      <c r="T68" s="52">
        <f t="shared" si="17"/>
        <v>5586134</v>
      </c>
      <c r="U68" s="52">
        <f>SUM(U6:U66)</f>
        <v>373531284.69999999</v>
      </c>
      <c r="V68" s="53"/>
      <c r="W68" s="54">
        <v>271166513</v>
      </c>
      <c r="X68" s="53">
        <f>W68-U68</f>
        <v>-102364771.69999999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8" t="s">
        <v>156</v>
      </c>
      <c r="Q1" s="78" t="s">
        <v>157</v>
      </c>
    </row>
    <row r="2" spans="1:17" x14ac:dyDescent="0.25">
      <c r="A2" s="57">
        <v>1</v>
      </c>
      <c r="B2" s="60" t="s">
        <v>143</v>
      </c>
      <c r="C2" s="90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9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90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90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90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80" t="s">
        <v>158</v>
      </c>
      <c r="G1" s="56" t="s">
        <v>140</v>
      </c>
      <c r="H1" s="78" t="s">
        <v>156</v>
      </c>
      <c r="I1" s="78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1" t="s">
        <v>44</v>
      </c>
      <c r="E22" s="82">
        <f>SUM(E2:E21)</f>
        <v>165505000</v>
      </c>
      <c r="F22" s="82">
        <f t="shared" ref="F22:I22" si="3">SUM(F2:F21)</f>
        <v>123463415</v>
      </c>
      <c r="G22" s="82">
        <f t="shared" si="3"/>
        <v>42041585</v>
      </c>
      <c r="H22" s="82">
        <f t="shared" si="3"/>
        <v>32759100</v>
      </c>
      <c r="I22" s="82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B1" zoomScaleNormal="100" workbookViewId="0">
      <pane ySplit="4" topLeftCell="A5" activePane="bottomLeft" state="frozen"/>
      <selection pane="bottomLeft" activeCell="L5" sqref="L5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3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1"/>
      <c r="B1" s="91"/>
      <c r="C1" s="91"/>
      <c r="D1" s="92" t="s">
        <v>185</v>
      </c>
      <c r="E1" s="93"/>
      <c r="F1" s="92"/>
      <c r="G1" s="92"/>
      <c r="H1" s="94"/>
      <c r="I1" s="92"/>
      <c r="J1" s="92" t="s">
        <v>186</v>
      </c>
      <c r="K1" s="92" t="s">
        <v>188</v>
      </c>
      <c r="L1" s="92"/>
      <c r="M1" s="92"/>
      <c r="N1" s="92"/>
      <c r="O1" s="87" t="s">
        <v>186</v>
      </c>
      <c r="P1" s="88"/>
      <c r="Q1" s="87"/>
      <c r="R1" s="87"/>
      <c r="S1" s="87"/>
      <c r="T1" s="87"/>
      <c r="U1" s="87"/>
    </row>
    <row r="2" spans="1:21" x14ac:dyDescent="0.25">
      <c r="A2" s="91"/>
      <c r="B2" s="91"/>
      <c r="C2" s="91"/>
      <c r="D2" s="92" t="s">
        <v>189</v>
      </c>
      <c r="E2" s="92"/>
      <c r="F2" s="92"/>
      <c r="G2" s="92"/>
      <c r="H2" s="94"/>
      <c r="I2" s="92"/>
      <c r="J2" s="92" t="s">
        <v>187</v>
      </c>
      <c r="K2" s="92" t="s">
        <v>128</v>
      </c>
      <c r="L2" s="92"/>
      <c r="M2" s="92"/>
      <c r="N2" s="92"/>
      <c r="O2" s="87" t="s">
        <v>187</v>
      </c>
      <c r="P2" s="89"/>
      <c r="Q2" s="87"/>
      <c r="R2" s="87"/>
      <c r="S2" s="87"/>
      <c r="T2" s="87"/>
      <c r="U2" s="87"/>
    </row>
    <row r="3" spans="1:2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1" s="86" customFormat="1" ht="54" customHeight="1" x14ac:dyDescent="0.25">
      <c r="A4" s="95" t="s">
        <v>159</v>
      </c>
      <c r="B4" s="95" t="s">
        <v>135</v>
      </c>
      <c r="C4" s="96" t="s">
        <v>136</v>
      </c>
      <c r="D4" s="95" t="s">
        <v>134</v>
      </c>
      <c r="E4" s="95" t="s">
        <v>160</v>
      </c>
      <c r="F4" s="95" t="s">
        <v>137</v>
      </c>
      <c r="G4" s="95" t="s">
        <v>182</v>
      </c>
      <c r="H4" s="56" t="s">
        <v>138</v>
      </c>
      <c r="I4" s="56" t="s">
        <v>139</v>
      </c>
      <c r="J4" s="56" t="s">
        <v>184</v>
      </c>
      <c r="K4" s="97" t="s">
        <v>179</v>
      </c>
      <c r="L4" s="97" t="s">
        <v>180</v>
      </c>
      <c r="M4" s="97" t="s">
        <v>181</v>
      </c>
      <c r="N4" s="98" t="s">
        <v>126</v>
      </c>
      <c r="O4" s="83" t="s">
        <v>183</v>
      </c>
    </row>
    <row r="5" spans="1:21" x14ac:dyDescent="0.25">
      <c r="A5" s="99">
        <v>1</v>
      </c>
      <c r="B5" s="100">
        <v>101</v>
      </c>
      <c r="C5" s="92" t="s">
        <v>144</v>
      </c>
      <c r="D5" s="99" t="s">
        <v>143</v>
      </c>
      <c r="E5" s="99" t="s">
        <v>161</v>
      </c>
      <c r="F5" s="99">
        <v>8420000</v>
      </c>
      <c r="G5" s="101">
        <v>8602140</v>
      </c>
      <c r="H5" s="102">
        <f>F5*60/100</f>
        <v>5052000</v>
      </c>
      <c r="I5" s="102">
        <f>1000000+2778600+1896500+1010400+1051400</f>
        <v>7736900</v>
      </c>
      <c r="J5" s="102">
        <f>H5-I5</f>
        <v>-2684900</v>
      </c>
      <c r="K5" s="103">
        <f t="shared" ref="K5:K20" si="0">F5*40/100</f>
        <v>3368000</v>
      </c>
      <c r="L5" s="99">
        <f>259000+229031</f>
        <v>488031</v>
      </c>
      <c r="M5" s="102">
        <v>606240</v>
      </c>
      <c r="N5" s="102">
        <f>K5-L5-M5</f>
        <v>2273729</v>
      </c>
      <c r="O5" s="84">
        <f t="shared" ref="O5:O23" si="1">F5-G5</f>
        <v>-182140</v>
      </c>
    </row>
    <row r="6" spans="1:21" x14ac:dyDescent="0.25">
      <c r="A6" s="99">
        <v>2</v>
      </c>
      <c r="B6" s="100">
        <v>103</v>
      </c>
      <c r="C6" s="92" t="s">
        <v>144</v>
      </c>
      <c r="D6" s="99" t="s">
        <v>143</v>
      </c>
      <c r="E6" s="99" t="s">
        <v>162</v>
      </c>
      <c r="F6" s="99">
        <v>8300000</v>
      </c>
      <c r="G6" s="104">
        <v>7029000</v>
      </c>
      <c r="H6" s="102">
        <f t="shared" ref="H6:H24" si="2">F6*60/100</f>
        <v>4980000</v>
      </c>
      <c r="I6" s="102">
        <f>225000+25000+200000+1000000+3255000</f>
        <v>4705000</v>
      </c>
      <c r="J6" s="102">
        <f t="shared" ref="J6:J24" si="3">H6-I6</f>
        <v>275000</v>
      </c>
      <c r="K6" s="103">
        <f t="shared" si="0"/>
        <v>3320000</v>
      </c>
      <c r="L6" s="99">
        <v>996000</v>
      </c>
      <c r="M6" s="102">
        <v>1328000</v>
      </c>
      <c r="N6" s="102">
        <f t="shared" ref="N6:N24" si="4">K6-L6-M6</f>
        <v>996000</v>
      </c>
      <c r="O6" s="84">
        <f t="shared" si="1"/>
        <v>1271000</v>
      </c>
    </row>
    <row r="7" spans="1:21" x14ac:dyDescent="0.25">
      <c r="A7" s="99">
        <v>3</v>
      </c>
      <c r="B7" s="100">
        <v>105</v>
      </c>
      <c r="C7" s="92" t="s">
        <v>144</v>
      </c>
      <c r="D7" s="99" t="s">
        <v>143</v>
      </c>
      <c r="E7" s="99" t="s">
        <v>163</v>
      </c>
      <c r="F7" s="99">
        <v>7100000</v>
      </c>
      <c r="G7" s="99">
        <v>5750000</v>
      </c>
      <c r="H7" s="102">
        <f t="shared" si="2"/>
        <v>4260000</v>
      </c>
      <c r="I7" s="102">
        <f>25000+200000+200000+200000+200000+300000+100000+2825000</f>
        <v>4050000</v>
      </c>
      <c r="J7" s="102">
        <f t="shared" si="3"/>
        <v>210000</v>
      </c>
      <c r="K7" s="103">
        <f t="shared" si="0"/>
        <v>2840000</v>
      </c>
      <c r="L7" s="99"/>
      <c r="M7" s="102">
        <v>1700000</v>
      </c>
      <c r="N7" s="102">
        <f t="shared" si="4"/>
        <v>1140000</v>
      </c>
      <c r="O7" s="84">
        <f t="shared" si="1"/>
        <v>1350000</v>
      </c>
    </row>
    <row r="8" spans="1:21" x14ac:dyDescent="0.25">
      <c r="A8" s="99">
        <v>4</v>
      </c>
      <c r="B8" s="100">
        <v>107</v>
      </c>
      <c r="C8" s="92" t="s">
        <v>144</v>
      </c>
      <c r="D8" s="99" t="s">
        <v>151</v>
      </c>
      <c r="E8" s="99" t="s">
        <v>164</v>
      </c>
      <c r="F8" s="99">
        <v>7800000</v>
      </c>
      <c r="G8" s="100">
        <v>6364000</v>
      </c>
      <c r="H8" s="102">
        <f t="shared" si="2"/>
        <v>4680000</v>
      </c>
      <c r="I8" s="102">
        <f>25000+100000+100000+500000+500000+3267000</f>
        <v>4492000</v>
      </c>
      <c r="J8" s="102">
        <f t="shared" si="3"/>
        <v>188000</v>
      </c>
      <c r="K8" s="103">
        <f t="shared" si="0"/>
        <v>3120000</v>
      </c>
      <c r="L8" s="99">
        <v>936000</v>
      </c>
      <c r="M8" s="102">
        <v>936000</v>
      </c>
      <c r="N8" s="102">
        <f t="shared" si="4"/>
        <v>1248000</v>
      </c>
      <c r="O8" s="84">
        <f t="shared" si="1"/>
        <v>1436000</v>
      </c>
    </row>
    <row r="9" spans="1:21" ht="19.5" customHeight="1" x14ac:dyDescent="0.25">
      <c r="A9" s="99">
        <v>5</v>
      </c>
      <c r="B9" s="100">
        <v>109</v>
      </c>
      <c r="C9" s="92" t="s">
        <v>144</v>
      </c>
      <c r="D9" s="99" t="s">
        <v>151</v>
      </c>
      <c r="E9" s="99" t="s">
        <v>165</v>
      </c>
      <c r="F9" s="99">
        <v>8500000</v>
      </c>
      <c r="G9" s="99">
        <v>6980000</v>
      </c>
      <c r="H9" s="102">
        <f t="shared" si="2"/>
        <v>5100000</v>
      </c>
      <c r="I9" s="102">
        <f>225000+800000+200000+500000+3215000</f>
        <v>4940000</v>
      </c>
      <c r="J9" s="102">
        <f t="shared" si="3"/>
        <v>160000</v>
      </c>
      <c r="K9" s="103">
        <f t="shared" si="0"/>
        <v>3400000</v>
      </c>
      <c r="L9" s="99">
        <v>1020000</v>
      </c>
      <c r="M9" s="102">
        <v>1020000</v>
      </c>
      <c r="N9" s="102">
        <f t="shared" si="4"/>
        <v>1360000</v>
      </c>
      <c r="O9" s="84">
        <f t="shared" si="1"/>
        <v>1520000</v>
      </c>
    </row>
    <row r="10" spans="1:21" x14ac:dyDescent="0.25">
      <c r="A10" s="99">
        <v>6</v>
      </c>
      <c r="B10" s="100">
        <v>111</v>
      </c>
      <c r="C10" s="92" t="s">
        <v>144</v>
      </c>
      <c r="D10" s="99" t="s">
        <v>151</v>
      </c>
      <c r="E10" s="99" t="s">
        <v>166</v>
      </c>
      <c r="F10" s="99">
        <v>8800000</v>
      </c>
      <c r="G10" s="99">
        <v>7244000</v>
      </c>
      <c r="H10" s="102">
        <f t="shared" si="2"/>
        <v>5280000</v>
      </c>
      <c r="I10" s="102">
        <f>225000+1000000+1500000+1407000+1000000+1056000</f>
        <v>6188000</v>
      </c>
      <c r="J10" s="102">
        <f t="shared" si="3"/>
        <v>-908000</v>
      </c>
      <c r="K10" s="103">
        <f t="shared" si="0"/>
        <v>3520000</v>
      </c>
      <c r="L10" s="99">
        <v>1056000</v>
      </c>
      <c r="M10" s="102"/>
      <c r="N10" s="102">
        <f t="shared" si="4"/>
        <v>2464000</v>
      </c>
      <c r="O10" s="84">
        <f t="shared" si="1"/>
        <v>1556000</v>
      </c>
    </row>
    <row r="11" spans="1:21" ht="18" customHeight="1" x14ac:dyDescent="0.25">
      <c r="A11" s="99">
        <v>7</v>
      </c>
      <c r="B11" s="100">
        <v>113</v>
      </c>
      <c r="C11" s="92" t="s">
        <v>144</v>
      </c>
      <c r="D11" s="99" t="s">
        <v>149</v>
      </c>
      <c r="E11" s="101" t="s">
        <v>167</v>
      </c>
      <c r="F11" s="99">
        <v>10900000</v>
      </c>
      <c r="G11" s="99">
        <v>1225000</v>
      </c>
      <c r="H11" s="102">
        <f t="shared" si="2"/>
        <v>6540000</v>
      </c>
      <c r="I11" s="102">
        <f>225000+1000000</f>
        <v>1225000</v>
      </c>
      <c r="J11" s="102">
        <f t="shared" si="3"/>
        <v>5315000</v>
      </c>
      <c r="K11" s="103">
        <f t="shared" si="0"/>
        <v>4360000</v>
      </c>
      <c r="L11" s="99"/>
      <c r="M11" s="102"/>
      <c r="N11" s="102">
        <f t="shared" si="4"/>
        <v>4360000</v>
      </c>
      <c r="O11" s="84">
        <f t="shared" si="1"/>
        <v>9675000</v>
      </c>
    </row>
    <row r="12" spans="1:21" x14ac:dyDescent="0.25">
      <c r="A12" s="99">
        <v>8</v>
      </c>
      <c r="B12" s="100">
        <v>115</v>
      </c>
      <c r="C12" s="92" t="s">
        <v>144</v>
      </c>
      <c r="D12" s="99" t="s">
        <v>148</v>
      </c>
      <c r="E12" s="99" t="s">
        <v>168</v>
      </c>
      <c r="F12" s="99">
        <v>9110000</v>
      </c>
      <c r="G12" s="99">
        <v>7517000</v>
      </c>
      <c r="H12" s="102">
        <f t="shared" si="2"/>
        <v>5466000</v>
      </c>
      <c r="I12" s="102">
        <f>25000+200000+1000000+2000000+2106000</f>
        <v>5331000</v>
      </c>
      <c r="J12" s="102">
        <f t="shared" si="3"/>
        <v>135000</v>
      </c>
      <c r="K12" s="103">
        <f t="shared" si="0"/>
        <v>3644000</v>
      </c>
      <c r="L12" s="99">
        <v>1093000</v>
      </c>
      <c r="M12" s="102">
        <v>1093000</v>
      </c>
      <c r="N12" s="102">
        <f t="shared" si="4"/>
        <v>1458000</v>
      </c>
      <c r="O12" s="84">
        <f t="shared" si="1"/>
        <v>1593000</v>
      </c>
    </row>
    <row r="13" spans="1:21" x14ac:dyDescent="0.25">
      <c r="A13" s="99">
        <v>9</v>
      </c>
      <c r="B13" s="100">
        <v>117</v>
      </c>
      <c r="C13" s="92" t="s">
        <v>144</v>
      </c>
      <c r="D13" s="99" t="s">
        <v>145</v>
      </c>
      <c r="E13" s="99" t="s">
        <v>169</v>
      </c>
      <c r="F13" s="99">
        <v>8300000</v>
      </c>
      <c r="G13" s="100">
        <v>6829000</v>
      </c>
      <c r="H13" s="102">
        <f t="shared" si="2"/>
        <v>4980000</v>
      </c>
      <c r="I13" s="102">
        <f>25000+25000+200000+1000000+3587000</f>
        <v>4837000</v>
      </c>
      <c r="J13" s="102">
        <f t="shared" si="3"/>
        <v>143000</v>
      </c>
      <c r="K13" s="103">
        <f t="shared" si="0"/>
        <v>3320000</v>
      </c>
      <c r="L13" s="99">
        <v>996000</v>
      </c>
      <c r="M13" s="102">
        <v>996000</v>
      </c>
      <c r="N13" s="102">
        <f t="shared" si="4"/>
        <v>1328000</v>
      </c>
      <c r="O13" s="84">
        <f t="shared" si="1"/>
        <v>1471000</v>
      </c>
    </row>
    <row r="14" spans="1:21" x14ac:dyDescent="0.25">
      <c r="A14" s="99">
        <v>10</v>
      </c>
      <c r="B14" s="100">
        <v>119</v>
      </c>
      <c r="C14" s="92" t="s">
        <v>144</v>
      </c>
      <c r="D14" s="99" t="s">
        <v>152</v>
      </c>
      <c r="E14" s="99" t="s">
        <v>170</v>
      </c>
      <c r="F14" s="99">
        <v>9925000</v>
      </c>
      <c r="G14" s="100">
        <v>3975000</v>
      </c>
      <c r="H14" s="102">
        <f t="shared" si="2"/>
        <v>5955000</v>
      </c>
      <c r="I14" s="102">
        <f>200000+25000+1000000+800000+450000+500000+500000+500000</f>
        <v>3975000</v>
      </c>
      <c r="J14" s="102">
        <f t="shared" si="3"/>
        <v>1980000</v>
      </c>
      <c r="K14" s="103">
        <f t="shared" si="0"/>
        <v>3970000</v>
      </c>
      <c r="L14" s="99">
        <v>0</v>
      </c>
      <c r="M14" s="102">
        <v>0</v>
      </c>
      <c r="N14" s="102">
        <f t="shared" si="4"/>
        <v>3970000</v>
      </c>
      <c r="O14" s="84">
        <f t="shared" si="1"/>
        <v>5950000</v>
      </c>
    </row>
    <row r="15" spans="1:21" x14ac:dyDescent="0.25">
      <c r="A15" s="99">
        <v>11</v>
      </c>
      <c r="B15" s="100">
        <v>121</v>
      </c>
      <c r="C15" s="92" t="s">
        <v>144</v>
      </c>
      <c r="D15" s="99" t="s">
        <v>148</v>
      </c>
      <c r="E15" s="99" t="s">
        <v>171</v>
      </c>
      <c r="F15" s="99">
        <v>9100000</v>
      </c>
      <c r="G15" s="100">
        <v>7508000</v>
      </c>
      <c r="H15" s="102">
        <f t="shared" si="2"/>
        <v>5460000</v>
      </c>
      <c r="I15" s="102">
        <f>25000+200000+1000000+2000000+2099000</f>
        <v>5324000</v>
      </c>
      <c r="J15" s="102">
        <f t="shared" si="3"/>
        <v>136000</v>
      </c>
      <c r="K15" s="103">
        <f t="shared" si="0"/>
        <v>3640000</v>
      </c>
      <c r="L15" s="99">
        <v>2184000</v>
      </c>
      <c r="M15" s="102">
        <v>0</v>
      </c>
      <c r="N15" s="102">
        <f t="shared" si="4"/>
        <v>1456000</v>
      </c>
      <c r="O15" s="84">
        <f t="shared" si="1"/>
        <v>1592000</v>
      </c>
    </row>
    <row r="16" spans="1:21" x14ac:dyDescent="0.25">
      <c r="A16" s="99">
        <v>12</v>
      </c>
      <c r="B16" s="100">
        <v>123</v>
      </c>
      <c r="C16" s="92" t="s">
        <v>144</v>
      </c>
      <c r="D16" s="105" t="s">
        <v>148</v>
      </c>
      <c r="E16" s="105" t="s">
        <v>172</v>
      </c>
      <c r="F16" s="105">
        <v>8111000</v>
      </c>
      <c r="G16" s="105">
        <v>7476000</v>
      </c>
      <c r="H16" s="106">
        <f t="shared" si="2"/>
        <v>4866600</v>
      </c>
      <c r="I16" s="106">
        <f>225000+500000+500000+4439000</f>
        <v>5664000</v>
      </c>
      <c r="J16" s="106">
        <f t="shared" si="3"/>
        <v>-797400</v>
      </c>
      <c r="K16" s="107">
        <f t="shared" si="0"/>
        <v>3244400</v>
      </c>
      <c r="L16" s="105">
        <v>400000</v>
      </c>
      <c r="M16" s="106">
        <v>1412000</v>
      </c>
      <c r="N16" s="106">
        <f t="shared" si="4"/>
        <v>1432400</v>
      </c>
      <c r="O16" s="85">
        <f t="shared" si="1"/>
        <v>635000</v>
      </c>
    </row>
    <row r="17" spans="1:15" x14ac:dyDescent="0.25">
      <c r="A17" s="99">
        <v>13</v>
      </c>
      <c r="B17" s="100">
        <v>125</v>
      </c>
      <c r="C17" s="92" t="s">
        <v>144</v>
      </c>
      <c r="D17" s="99" t="s">
        <v>153</v>
      </c>
      <c r="E17" s="99" t="s">
        <v>173</v>
      </c>
      <c r="F17" s="99">
        <v>8850000</v>
      </c>
      <c r="G17" s="100">
        <v>8038000</v>
      </c>
      <c r="H17" s="102">
        <f t="shared" si="2"/>
        <v>5310000</v>
      </c>
      <c r="I17" s="102">
        <f>225000+500000+4439000</f>
        <v>5164000</v>
      </c>
      <c r="J17" s="102">
        <f t="shared" si="3"/>
        <v>146000</v>
      </c>
      <c r="K17" s="103">
        <f t="shared" si="0"/>
        <v>3540000</v>
      </c>
      <c r="L17" s="99">
        <v>400000</v>
      </c>
      <c r="M17" s="102">
        <v>2474000</v>
      </c>
      <c r="N17" s="102">
        <f t="shared" si="4"/>
        <v>666000</v>
      </c>
      <c r="O17" s="84">
        <f t="shared" si="1"/>
        <v>812000</v>
      </c>
    </row>
    <row r="18" spans="1:15" ht="26.25" x14ac:dyDescent="0.25">
      <c r="A18" s="99">
        <v>14</v>
      </c>
      <c r="B18" s="100">
        <v>127</v>
      </c>
      <c r="C18" s="92" t="s">
        <v>144</v>
      </c>
      <c r="D18" s="99" t="s">
        <v>150</v>
      </c>
      <c r="E18" s="99" t="s">
        <v>174</v>
      </c>
      <c r="F18" s="99">
        <v>8200000</v>
      </c>
      <c r="G18" s="99">
        <v>6691000</v>
      </c>
      <c r="H18" s="102">
        <f t="shared" si="2"/>
        <v>4920000</v>
      </c>
      <c r="I18" s="102">
        <f>200000+200000+50000+150000+4123000</f>
        <v>4723000</v>
      </c>
      <c r="J18" s="102">
        <f t="shared" si="3"/>
        <v>197000</v>
      </c>
      <c r="K18" s="103">
        <f t="shared" si="0"/>
        <v>3280000</v>
      </c>
      <c r="L18" s="99">
        <v>984000</v>
      </c>
      <c r="M18" s="102">
        <v>984000</v>
      </c>
      <c r="N18" s="102">
        <f t="shared" si="4"/>
        <v>1312000</v>
      </c>
      <c r="O18" s="84">
        <f t="shared" si="1"/>
        <v>1509000</v>
      </c>
    </row>
    <row r="19" spans="1:15" ht="26.25" x14ac:dyDescent="0.25">
      <c r="A19" s="99">
        <v>15</v>
      </c>
      <c r="B19" s="100">
        <v>130</v>
      </c>
      <c r="C19" s="92" t="s">
        <v>144</v>
      </c>
      <c r="D19" s="99" t="s">
        <v>150</v>
      </c>
      <c r="E19" s="99" t="s">
        <v>175</v>
      </c>
      <c r="F19" s="99">
        <v>8300000</v>
      </c>
      <c r="G19" s="100">
        <v>7699600</v>
      </c>
      <c r="H19" s="102">
        <f t="shared" si="2"/>
        <v>4980000</v>
      </c>
      <c r="I19" s="102">
        <f>25000+200000+1000000+473000+3087000</f>
        <v>4785000</v>
      </c>
      <c r="J19" s="102">
        <f t="shared" si="3"/>
        <v>195000</v>
      </c>
      <c r="K19" s="103">
        <f t="shared" si="0"/>
        <v>3320000</v>
      </c>
      <c r="L19" s="100">
        <v>1918600</v>
      </c>
      <c r="M19" s="102">
        <v>996000</v>
      </c>
      <c r="N19" s="102">
        <f t="shared" si="4"/>
        <v>405400</v>
      </c>
      <c r="O19" s="84">
        <f t="shared" si="1"/>
        <v>600400</v>
      </c>
    </row>
    <row r="20" spans="1:15" ht="16.5" customHeight="1" x14ac:dyDescent="0.25">
      <c r="A20" s="99">
        <v>16</v>
      </c>
      <c r="B20" s="100">
        <v>132</v>
      </c>
      <c r="C20" s="92" t="s">
        <v>144</v>
      </c>
      <c r="D20" s="99" t="s">
        <v>150</v>
      </c>
      <c r="E20" s="99" t="s">
        <v>176</v>
      </c>
      <c r="F20" s="99">
        <v>8300000</v>
      </c>
      <c r="G20" s="100">
        <v>7076600</v>
      </c>
      <c r="H20" s="102">
        <f t="shared" si="2"/>
        <v>4980000</v>
      </c>
      <c r="I20" s="102">
        <f>25000+200000+500000+500000+3587000</f>
        <v>4812000</v>
      </c>
      <c r="J20" s="102">
        <f t="shared" si="3"/>
        <v>168000</v>
      </c>
      <c r="K20" s="103">
        <f t="shared" si="0"/>
        <v>3320000</v>
      </c>
      <c r="L20" s="99">
        <f>996000+1743495+104835</f>
        <v>2844330</v>
      </c>
      <c r="M20" s="102">
        <v>1268600</v>
      </c>
      <c r="N20" s="102">
        <f t="shared" si="4"/>
        <v>-792930</v>
      </c>
      <c r="O20" s="84">
        <f t="shared" si="1"/>
        <v>1223400</v>
      </c>
    </row>
    <row r="21" spans="1:15" ht="16.5" customHeight="1" x14ac:dyDescent="0.25">
      <c r="A21" s="99">
        <v>17</v>
      </c>
      <c r="B21" s="100">
        <v>136</v>
      </c>
      <c r="C21" s="92" t="s">
        <v>147</v>
      </c>
      <c r="D21" s="108" t="s">
        <v>146</v>
      </c>
      <c r="E21" s="100"/>
      <c r="F21" s="99">
        <v>0</v>
      </c>
      <c r="G21" s="100">
        <v>0</v>
      </c>
      <c r="H21" s="102">
        <f t="shared" si="2"/>
        <v>0</v>
      </c>
      <c r="I21" s="102">
        <v>0</v>
      </c>
      <c r="J21" s="102">
        <v>0</v>
      </c>
      <c r="K21" s="103">
        <v>0</v>
      </c>
      <c r="L21" s="99">
        <v>0</v>
      </c>
      <c r="M21" s="102">
        <v>0</v>
      </c>
      <c r="N21" s="102">
        <v>0</v>
      </c>
      <c r="O21" s="84">
        <f t="shared" si="1"/>
        <v>0</v>
      </c>
    </row>
    <row r="22" spans="1:15" x14ac:dyDescent="0.25">
      <c r="A22" s="99">
        <v>18</v>
      </c>
      <c r="B22" s="100">
        <v>134</v>
      </c>
      <c r="C22" s="92" t="s">
        <v>144</v>
      </c>
      <c r="D22" s="99" t="s">
        <v>146</v>
      </c>
      <c r="E22" s="99" t="s">
        <v>177</v>
      </c>
      <c r="F22" s="99">
        <v>8700000</v>
      </c>
      <c r="G22" s="100">
        <v>7435480</v>
      </c>
      <c r="H22" s="102">
        <f t="shared" si="2"/>
        <v>5220000</v>
      </c>
      <c r="I22" s="102">
        <f>225000+225000+1000000+950000+645000+950000+950000</f>
        <v>4945000</v>
      </c>
      <c r="J22" s="102">
        <f t="shared" si="3"/>
        <v>275000</v>
      </c>
      <c r="K22" s="103">
        <f>F22*40/100</f>
        <v>3480000</v>
      </c>
      <c r="L22" s="99">
        <v>1446480</v>
      </c>
      <c r="M22" s="102">
        <v>1044000</v>
      </c>
      <c r="N22" s="102">
        <f t="shared" si="4"/>
        <v>989520</v>
      </c>
      <c r="O22" s="84">
        <f t="shared" si="1"/>
        <v>1264520</v>
      </c>
    </row>
    <row r="23" spans="1:15" x14ac:dyDescent="0.25">
      <c r="A23" s="99">
        <v>19</v>
      </c>
      <c r="B23" s="100">
        <v>138</v>
      </c>
      <c r="C23" s="92" t="s">
        <v>144</v>
      </c>
      <c r="D23" s="99" t="s">
        <v>155</v>
      </c>
      <c r="E23" s="99" t="s">
        <v>178</v>
      </c>
      <c r="F23" s="99">
        <v>9000000</v>
      </c>
      <c r="G23" s="100">
        <v>7340000</v>
      </c>
      <c r="H23" s="102">
        <f t="shared" si="2"/>
        <v>5400000</v>
      </c>
      <c r="I23" s="102">
        <f>25000+200000+1000000+1000000+900000+900000+900000+975000</f>
        <v>5900000</v>
      </c>
      <c r="J23" s="102">
        <f t="shared" si="3"/>
        <v>-500000</v>
      </c>
      <c r="K23" s="103">
        <f>F23*40/100</f>
        <v>3600000</v>
      </c>
      <c r="L23" s="99">
        <v>0</v>
      </c>
      <c r="M23" s="102">
        <v>1440000</v>
      </c>
      <c r="N23" s="102">
        <f t="shared" si="4"/>
        <v>2160000</v>
      </c>
      <c r="O23" s="84">
        <f t="shared" si="1"/>
        <v>1660000</v>
      </c>
    </row>
    <row r="24" spans="1:15" x14ac:dyDescent="0.25">
      <c r="A24" s="99">
        <v>20</v>
      </c>
      <c r="B24" s="100">
        <v>140</v>
      </c>
      <c r="C24" s="92" t="s">
        <v>144</v>
      </c>
      <c r="D24" s="99" t="s">
        <v>155</v>
      </c>
      <c r="E24" s="58" t="s">
        <v>236</v>
      </c>
      <c r="F24" s="61">
        <v>12900000</v>
      </c>
      <c r="G24" s="99">
        <v>25000</v>
      </c>
      <c r="H24" s="102">
        <f t="shared" si="2"/>
        <v>7740000</v>
      </c>
      <c r="I24" s="109">
        <v>25000</v>
      </c>
      <c r="J24" s="102">
        <f t="shared" si="3"/>
        <v>7715000</v>
      </c>
      <c r="K24" s="103">
        <f>F24*40/100</f>
        <v>5160000</v>
      </c>
      <c r="L24" s="99"/>
      <c r="M24" s="102"/>
      <c r="N24" s="102">
        <f t="shared" si="4"/>
        <v>5160000</v>
      </c>
    </row>
    <row r="25" spans="1:15" ht="15.75" thickBot="1" x14ac:dyDescent="0.3">
      <c r="A25" s="99"/>
      <c r="B25" s="99"/>
      <c r="C25" s="99"/>
      <c r="D25" s="99"/>
      <c r="E25" s="112" t="s">
        <v>44</v>
      </c>
      <c r="F25" s="113">
        <f t="shared" ref="F25:O25" si="5">SUM(F5:F24)</f>
        <v>168616000</v>
      </c>
      <c r="G25" s="113">
        <f t="shared" si="5"/>
        <v>120804820</v>
      </c>
      <c r="H25" s="114">
        <f t="shared" si="5"/>
        <v>101169600</v>
      </c>
      <c r="I25" s="114">
        <f t="shared" si="5"/>
        <v>88821900</v>
      </c>
      <c r="J25" s="114">
        <f t="shared" si="5"/>
        <v>12347700</v>
      </c>
      <c r="K25" s="114">
        <f t="shared" si="5"/>
        <v>67446400</v>
      </c>
      <c r="L25" s="114">
        <f t="shared" si="5"/>
        <v>16762441</v>
      </c>
      <c r="M25" s="114">
        <f t="shared" si="5"/>
        <v>17297840</v>
      </c>
      <c r="N25" s="114">
        <f t="shared" si="5"/>
        <v>33386119</v>
      </c>
      <c r="O25" s="84">
        <f t="shared" si="5"/>
        <v>34936180</v>
      </c>
    </row>
    <row r="26" spans="1:15" ht="15.75" thickTop="1" x14ac:dyDescent="0.25">
      <c r="A26" s="91"/>
      <c r="B26" s="91"/>
      <c r="C26" s="91"/>
      <c r="D26" s="9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15" x14ac:dyDescent="0.25">
      <c r="A28" s="91"/>
      <c r="B28" s="91"/>
      <c r="C28" s="91"/>
      <c r="D28" s="91">
        <v>1</v>
      </c>
      <c r="E28" s="56" t="s">
        <v>139</v>
      </c>
      <c r="F28" s="103">
        <f>I25</f>
        <v>88821900</v>
      </c>
      <c r="G28" s="91"/>
      <c r="H28" s="91"/>
      <c r="I28" s="91"/>
      <c r="J28" s="91"/>
      <c r="K28" s="91"/>
      <c r="L28" s="103"/>
      <c r="M28" s="91"/>
      <c r="N28" s="91"/>
    </row>
    <row r="29" spans="1:15" ht="18.75" customHeight="1" x14ac:dyDescent="0.25">
      <c r="A29" s="91"/>
      <c r="B29" s="91"/>
      <c r="C29" s="91"/>
      <c r="D29" s="91">
        <v>2</v>
      </c>
      <c r="E29" s="56" t="s">
        <v>184</v>
      </c>
      <c r="F29" s="103">
        <f>J25</f>
        <v>12347700</v>
      </c>
      <c r="G29" s="91"/>
      <c r="H29" s="91"/>
      <c r="I29" s="91"/>
      <c r="J29" s="91"/>
      <c r="K29" s="91"/>
      <c r="L29" s="91"/>
      <c r="M29" s="91"/>
      <c r="N29" s="91"/>
    </row>
    <row r="30" spans="1: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5" x14ac:dyDescent="0.25">
      <c r="A31" s="91"/>
      <c r="B31" s="91"/>
      <c r="C31" s="91"/>
      <c r="D31" s="91">
        <v>1</v>
      </c>
      <c r="E31" s="110" t="s">
        <v>190</v>
      </c>
      <c r="F31" s="103">
        <f>L25+M25</f>
        <v>34060281</v>
      </c>
      <c r="G31" s="91"/>
      <c r="H31" s="91"/>
      <c r="I31" s="91"/>
      <c r="J31" s="91"/>
      <c r="K31" s="91"/>
      <c r="L31" s="91"/>
      <c r="M31" s="91"/>
      <c r="N31" s="91"/>
    </row>
    <row r="32" spans="1:15" x14ac:dyDescent="0.25">
      <c r="A32" s="91"/>
      <c r="B32" s="91"/>
      <c r="C32" s="91"/>
      <c r="D32" s="91">
        <v>2</v>
      </c>
      <c r="E32" s="98" t="s">
        <v>126</v>
      </c>
      <c r="F32" s="103">
        <f>N25</f>
        <v>33386119</v>
      </c>
      <c r="G32" s="91"/>
      <c r="H32" s="91"/>
      <c r="I32" s="91"/>
      <c r="J32" s="91"/>
      <c r="K32" s="91"/>
      <c r="L32" s="91"/>
      <c r="M32" s="91"/>
      <c r="N32" s="91"/>
    </row>
    <row r="33" spans="1:14" x14ac:dyDescent="0.25">
      <c r="A33" s="91"/>
      <c r="B33" s="91"/>
      <c r="C33" s="91"/>
      <c r="D33" s="91"/>
      <c r="E33" s="103"/>
      <c r="F33" s="91"/>
      <c r="G33" s="91"/>
      <c r="H33" s="91"/>
      <c r="I33" s="91"/>
      <c r="J33" s="91"/>
      <c r="K33" s="91"/>
      <c r="L33" s="91"/>
      <c r="M33" s="91"/>
      <c r="N33" s="91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5"/>
      <c r="B1" s="115" t="s">
        <v>191</v>
      </c>
      <c r="C1" s="116"/>
      <c r="D1" s="117"/>
      <c r="E1" s="118"/>
    </row>
    <row r="2" spans="1:5" x14ac:dyDescent="0.25">
      <c r="A2" s="119">
        <v>1</v>
      </c>
      <c r="B2" s="120" t="s">
        <v>192</v>
      </c>
      <c r="C2" s="121">
        <v>0.01</v>
      </c>
      <c r="D2" s="117">
        <v>9000</v>
      </c>
      <c r="E2" s="122">
        <v>90</v>
      </c>
    </row>
    <row r="3" spans="1:5" x14ac:dyDescent="0.25">
      <c r="A3" s="119">
        <f>A2+1</f>
        <v>2</v>
      </c>
      <c r="B3" s="120" t="s">
        <v>193</v>
      </c>
      <c r="C3" s="121">
        <v>0.01</v>
      </c>
      <c r="D3" s="117">
        <v>2400</v>
      </c>
      <c r="E3" s="122">
        <v>24</v>
      </c>
    </row>
    <row r="4" spans="1:5" x14ac:dyDescent="0.25">
      <c r="A4" s="119">
        <f t="shared" ref="A4:A56" si="0">A3+1</f>
        <v>3</v>
      </c>
      <c r="B4" s="120" t="s">
        <v>194</v>
      </c>
      <c r="C4" s="121">
        <v>0.01</v>
      </c>
      <c r="D4" s="117">
        <v>2400</v>
      </c>
      <c r="E4" s="122">
        <v>24</v>
      </c>
    </row>
    <row r="5" spans="1:5" x14ac:dyDescent="0.25">
      <c r="A5" s="119">
        <f t="shared" si="0"/>
        <v>4</v>
      </c>
      <c r="B5" s="120" t="s">
        <v>195</v>
      </c>
      <c r="C5" s="121">
        <v>0.01</v>
      </c>
      <c r="D5" s="117">
        <v>50000</v>
      </c>
      <c r="E5" s="122">
        <v>500</v>
      </c>
    </row>
    <row r="6" spans="1:5" x14ac:dyDescent="0.25">
      <c r="A6" s="119">
        <f t="shared" si="0"/>
        <v>5</v>
      </c>
      <c r="B6" s="120" t="s">
        <v>196</v>
      </c>
      <c r="C6" s="121">
        <v>0.01</v>
      </c>
      <c r="D6" s="117">
        <v>20700</v>
      </c>
      <c r="E6" s="122">
        <v>207</v>
      </c>
    </row>
    <row r="7" spans="1:5" x14ac:dyDescent="0.25">
      <c r="A7" s="119">
        <f t="shared" si="0"/>
        <v>6</v>
      </c>
      <c r="B7" s="120" t="s">
        <v>197</v>
      </c>
      <c r="C7" s="121">
        <v>0.01</v>
      </c>
      <c r="D7" s="117">
        <v>8400</v>
      </c>
      <c r="E7" s="122">
        <v>84</v>
      </c>
    </row>
    <row r="8" spans="1:5" x14ac:dyDescent="0.25">
      <c r="A8" s="119">
        <f t="shared" si="0"/>
        <v>7</v>
      </c>
      <c r="B8" s="120" t="s">
        <v>198</v>
      </c>
      <c r="C8" s="121">
        <v>0.01</v>
      </c>
      <c r="D8" s="117">
        <v>35000</v>
      </c>
      <c r="E8" s="122">
        <v>350</v>
      </c>
    </row>
    <row r="9" spans="1:5" x14ac:dyDescent="0.25">
      <c r="A9" s="119">
        <f t="shared" si="0"/>
        <v>8</v>
      </c>
      <c r="B9" s="120" t="s">
        <v>199</v>
      </c>
      <c r="C9" s="121">
        <v>0.01</v>
      </c>
      <c r="D9" s="117">
        <v>22000</v>
      </c>
      <c r="E9" s="122">
        <v>220</v>
      </c>
    </row>
    <row r="10" spans="1:5" x14ac:dyDescent="0.25">
      <c r="A10" s="119">
        <f t="shared" si="0"/>
        <v>9</v>
      </c>
      <c r="B10" s="120" t="s">
        <v>200</v>
      </c>
      <c r="C10" s="121">
        <v>0.01</v>
      </c>
      <c r="D10" s="117">
        <v>35000</v>
      </c>
      <c r="E10" s="122">
        <v>350</v>
      </c>
    </row>
    <row r="11" spans="1:5" x14ac:dyDescent="0.25">
      <c r="A11" s="119">
        <f t="shared" si="0"/>
        <v>10</v>
      </c>
      <c r="B11" s="120" t="s">
        <v>195</v>
      </c>
      <c r="C11" s="121">
        <v>0.01</v>
      </c>
      <c r="D11" s="117">
        <v>50000</v>
      </c>
      <c r="E11" s="122">
        <v>500</v>
      </c>
    </row>
    <row r="12" spans="1:5" x14ac:dyDescent="0.25">
      <c r="A12" s="119">
        <f t="shared" si="0"/>
        <v>11</v>
      </c>
      <c r="B12" s="120" t="s">
        <v>201</v>
      </c>
      <c r="C12" s="121">
        <v>0.01</v>
      </c>
      <c r="D12" s="117">
        <v>2100</v>
      </c>
      <c r="E12" s="122">
        <v>42</v>
      </c>
    </row>
    <row r="13" spans="1:5" x14ac:dyDescent="0.25">
      <c r="A13" s="119">
        <f t="shared" si="0"/>
        <v>12</v>
      </c>
      <c r="B13" s="120" t="s">
        <v>193</v>
      </c>
      <c r="C13" s="121">
        <v>0.01</v>
      </c>
      <c r="D13" s="117">
        <v>3600</v>
      </c>
      <c r="E13" s="122">
        <v>36</v>
      </c>
    </row>
    <row r="14" spans="1:5" x14ac:dyDescent="0.25">
      <c r="A14" s="119">
        <f t="shared" si="0"/>
        <v>13</v>
      </c>
      <c r="B14" s="120" t="s">
        <v>194</v>
      </c>
      <c r="C14" s="121">
        <v>0.01</v>
      </c>
      <c r="D14" s="117">
        <v>3600</v>
      </c>
      <c r="E14" s="122">
        <v>36</v>
      </c>
    </row>
    <row r="15" spans="1:5" x14ac:dyDescent="0.25">
      <c r="A15" s="119">
        <f t="shared" si="0"/>
        <v>14</v>
      </c>
      <c r="B15" s="120" t="s">
        <v>192</v>
      </c>
      <c r="C15" s="121">
        <v>0.01</v>
      </c>
      <c r="D15" s="117">
        <v>12000</v>
      </c>
      <c r="E15" s="122">
        <v>120</v>
      </c>
    </row>
    <row r="16" spans="1:5" x14ac:dyDescent="0.25">
      <c r="A16" s="119">
        <f t="shared" si="0"/>
        <v>15</v>
      </c>
      <c r="B16" s="120" t="s">
        <v>202</v>
      </c>
      <c r="C16" s="121">
        <v>0.01</v>
      </c>
      <c r="D16" s="117">
        <v>30000</v>
      </c>
      <c r="E16" s="122">
        <v>300</v>
      </c>
    </row>
    <row r="17" spans="1:5" x14ac:dyDescent="0.25">
      <c r="A17" s="119">
        <f t="shared" si="0"/>
        <v>16</v>
      </c>
      <c r="B17" s="120" t="s">
        <v>203</v>
      </c>
      <c r="C17" s="121">
        <v>0.01</v>
      </c>
      <c r="D17" s="117">
        <v>10650</v>
      </c>
      <c r="E17" s="122">
        <v>107</v>
      </c>
    </row>
    <row r="18" spans="1:5" x14ac:dyDescent="0.25">
      <c r="A18" s="119">
        <f t="shared" si="0"/>
        <v>17</v>
      </c>
      <c r="B18" s="120" t="s">
        <v>204</v>
      </c>
      <c r="C18" s="121">
        <v>0.01</v>
      </c>
      <c r="D18" s="117">
        <v>1400</v>
      </c>
      <c r="E18" s="122">
        <v>14</v>
      </c>
    </row>
    <row r="19" spans="1:5" x14ac:dyDescent="0.25">
      <c r="A19" s="119">
        <f t="shared" si="0"/>
        <v>18</v>
      </c>
      <c r="B19" s="120" t="s">
        <v>205</v>
      </c>
      <c r="C19" s="121">
        <v>0.01</v>
      </c>
      <c r="D19" s="117">
        <v>1250</v>
      </c>
      <c r="E19" s="122">
        <v>13</v>
      </c>
    </row>
    <row r="20" spans="1:5" x14ac:dyDescent="0.25">
      <c r="A20" s="119">
        <f t="shared" si="0"/>
        <v>19</v>
      </c>
      <c r="B20" s="120" t="s">
        <v>196</v>
      </c>
      <c r="C20" s="121">
        <v>0.01</v>
      </c>
      <c r="D20" s="117">
        <v>4450</v>
      </c>
      <c r="E20" s="122">
        <v>45</v>
      </c>
    </row>
    <row r="21" spans="1:5" x14ac:dyDescent="0.25">
      <c r="A21" s="119">
        <f t="shared" si="0"/>
        <v>20</v>
      </c>
      <c r="B21" s="120" t="s">
        <v>206</v>
      </c>
      <c r="C21" s="121">
        <v>0.01</v>
      </c>
      <c r="D21" s="117">
        <v>13600</v>
      </c>
      <c r="E21" s="122">
        <v>136</v>
      </c>
    </row>
    <row r="22" spans="1:5" x14ac:dyDescent="0.25">
      <c r="A22" s="119">
        <f t="shared" si="0"/>
        <v>21</v>
      </c>
      <c r="B22" s="120" t="s">
        <v>207</v>
      </c>
      <c r="C22" s="121">
        <v>0.01</v>
      </c>
      <c r="D22" s="117">
        <v>19500</v>
      </c>
      <c r="E22" s="122">
        <v>195</v>
      </c>
    </row>
    <row r="23" spans="1:5" x14ac:dyDescent="0.25">
      <c r="A23" s="119">
        <f t="shared" si="0"/>
        <v>22</v>
      </c>
      <c r="B23" s="120" t="s">
        <v>208</v>
      </c>
      <c r="C23" s="121">
        <v>0.01</v>
      </c>
      <c r="D23" s="117">
        <v>7500</v>
      </c>
      <c r="E23" s="122">
        <v>75</v>
      </c>
    </row>
    <row r="24" spans="1:5" x14ac:dyDescent="0.25">
      <c r="A24" s="119">
        <f t="shared" si="0"/>
        <v>23</v>
      </c>
      <c r="B24" s="120" t="s">
        <v>203</v>
      </c>
      <c r="C24" s="121">
        <v>0.01</v>
      </c>
      <c r="D24" s="117">
        <v>9500</v>
      </c>
      <c r="E24" s="122">
        <v>95</v>
      </c>
    </row>
    <row r="25" spans="1:5" x14ac:dyDescent="0.25">
      <c r="A25" s="119">
        <f t="shared" si="0"/>
        <v>24</v>
      </c>
      <c r="B25" s="120" t="s">
        <v>197</v>
      </c>
      <c r="C25" s="121">
        <v>0.01</v>
      </c>
      <c r="D25" s="117">
        <v>50000</v>
      </c>
      <c r="E25" s="122">
        <v>500</v>
      </c>
    </row>
    <row r="26" spans="1:5" x14ac:dyDescent="0.25">
      <c r="A26" s="119">
        <f t="shared" si="0"/>
        <v>25</v>
      </c>
      <c r="B26" s="120" t="s">
        <v>192</v>
      </c>
      <c r="C26" s="121">
        <v>0.01</v>
      </c>
      <c r="D26" s="117">
        <v>13100</v>
      </c>
      <c r="E26" s="122">
        <v>131</v>
      </c>
    </row>
    <row r="27" spans="1:5" x14ac:dyDescent="0.25">
      <c r="A27" s="119">
        <f t="shared" si="0"/>
        <v>26</v>
      </c>
      <c r="B27" s="120" t="s">
        <v>209</v>
      </c>
      <c r="C27" s="121">
        <v>0.01</v>
      </c>
      <c r="D27" s="117">
        <v>2300</v>
      </c>
      <c r="E27" s="122">
        <v>23</v>
      </c>
    </row>
    <row r="28" spans="1:5" x14ac:dyDescent="0.25">
      <c r="A28" s="119">
        <f t="shared" si="0"/>
        <v>27</v>
      </c>
      <c r="B28" s="120" t="s">
        <v>194</v>
      </c>
      <c r="C28" s="121">
        <v>0.01</v>
      </c>
      <c r="D28" s="117">
        <v>3000</v>
      </c>
      <c r="E28" s="122">
        <v>30</v>
      </c>
    </row>
    <row r="29" spans="1:5" x14ac:dyDescent="0.25">
      <c r="A29" s="119">
        <f t="shared" si="0"/>
        <v>28</v>
      </c>
      <c r="B29" s="120" t="s">
        <v>193</v>
      </c>
      <c r="C29" s="121">
        <v>0.01</v>
      </c>
      <c r="D29" s="117">
        <v>3000</v>
      </c>
      <c r="E29" s="122">
        <v>30</v>
      </c>
    </row>
    <row r="30" spans="1:5" x14ac:dyDescent="0.25">
      <c r="A30" s="119">
        <f t="shared" si="0"/>
        <v>29</v>
      </c>
      <c r="B30" s="120" t="s">
        <v>195</v>
      </c>
      <c r="C30" s="121">
        <v>0.01</v>
      </c>
      <c r="D30" s="117">
        <v>20000</v>
      </c>
      <c r="E30" s="122">
        <v>200</v>
      </c>
    </row>
    <row r="31" spans="1:5" x14ac:dyDescent="0.25">
      <c r="A31" s="119">
        <f t="shared" si="0"/>
        <v>30</v>
      </c>
      <c r="B31" s="120" t="s">
        <v>199</v>
      </c>
      <c r="C31" s="121">
        <v>0.01</v>
      </c>
      <c r="D31" s="117">
        <v>40000</v>
      </c>
      <c r="E31" s="122">
        <v>400</v>
      </c>
    </row>
    <row r="32" spans="1:5" x14ac:dyDescent="0.25">
      <c r="A32" s="119">
        <f t="shared" si="0"/>
        <v>31</v>
      </c>
      <c r="B32" s="120" t="s">
        <v>210</v>
      </c>
      <c r="C32" s="121">
        <v>0.01</v>
      </c>
      <c r="D32" s="117">
        <v>50000</v>
      </c>
      <c r="E32" s="122">
        <v>500</v>
      </c>
    </row>
    <row r="33" spans="1:5" x14ac:dyDescent="0.25">
      <c r="A33" s="119">
        <f t="shared" si="0"/>
        <v>32</v>
      </c>
      <c r="B33" s="120" t="s">
        <v>202</v>
      </c>
      <c r="C33" s="121">
        <v>0.01</v>
      </c>
      <c r="D33" s="117">
        <v>30000</v>
      </c>
      <c r="E33" s="122">
        <v>300</v>
      </c>
    </row>
    <row r="34" spans="1:5" x14ac:dyDescent="0.25">
      <c r="A34" s="119">
        <f t="shared" si="0"/>
        <v>33</v>
      </c>
      <c r="B34" s="120" t="s">
        <v>211</v>
      </c>
      <c r="C34" s="121">
        <v>0.01</v>
      </c>
      <c r="D34" s="117">
        <v>50000</v>
      </c>
      <c r="E34" s="122">
        <v>500</v>
      </c>
    </row>
    <row r="35" spans="1:5" x14ac:dyDescent="0.25">
      <c r="A35" s="119">
        <f t="shared" si="0"/>
        <v>34</v>
      </c>
      <c r="B35" s="120" t="s">
        <v>209</v>
      </c>
      <c r="C35" s="121">
        <v>0.01</v>
      </c>
      <c r="D35" s="117">
        <v>2300</v>
      </c>
      <c r="E35" s="122">
        <v>23</v>
      </c>
    </row>
    <row r="36" spans="1:5" x14ac:dyDescent="0.25">
      <c r="A36" s="119">
        <f t="shared" si="0"/>
        <v>35</v>
      </c>
      <c r="B36" s="120" t="s">
        <v>194</v>
      </c>
      <c r="C36" s="121">
        <v>0.01</v>
      </c>
      <c r="D36" s="117">
        <v>1800</v>
      </c>
      <c r="E36" s="122">
        <v>18</v>
      </c>
    </row>
    <row r="37" spans="1:5" x14ac:dyDescent="0.25">
      <c r="A37" s="119">
        <f t="shared" si="0"/>
        <v>36</v>
      </c>
      <c r="B37" s="120" t="s">
        <v>212</v>
      </c>
      <c r="C37" s="121">
        <v>0.01</v>
      </c>
      <c r="D37" s="117">
        <v>2450</v>
      </c>
      <c r="E37" s="122">
        <v>24</v>
      </c>
    </row>
    <row r="38" spans="1:5" x14ac:dyDescent="0.25">
      <c r="A38" s="119">
        <f t="shared" si="0"/>
        <v>37</v>
      </c>
      <c r="B38" s="120" t="s">
        <v>193</v>
      </c>
      <c r="C38" s="121">
        <v>0.01</v>
      </c>
      <c r="D38" s="117">
        <v>1800</v>
      </c>
      <c r="E38" s="122">
        <v>18</v>
      </c>
    </row>
    <row r="39" spans="1:5" x14ac:dyDescent="0.25">
      <c r="A39" s="119">
        <f t="shared" si="0"/>
        <v>38</v>
      </c>
      <c r="B39" s="120" t="s">
        <v>192</v>
      </c>
      <c r="C39" s="121">
        <v>0.01</v>
      </c>
      <c r="D39" s="117">
        <v>8000</v>
      </c>
      <c r="E39" s="122">
        <v>80</v>
      </c>
    </row>
    <row r="40" spans="1:5" x14ac:dyDescent="0.25">
      <c r="A40" s="119">
        <f t="shared" si="0"/>
        <v>39</v>
      </c>
      <c r="B40" s="120" t="s">
        <v>213</v>
      </c>
      <c r="C40" s="121">
        <v>0.01</v>
      </c>
      <c r="D40" s="117">
        <v>9610</v>
      </c>
      <c r="E40" s="122">
        <v>96</v>
      </c>
    </row>
    <row r="41" spans="1:5" x14ac:dyDescent="0.25">
      <c r="A41" s="119">
        <f t="shared" si="0"/>
        <v>40</v>
      </c>
      <c r="B41" s="120" t="s">
        <v>211</v>
      </c>
      <c r="C41" s="121">
        <v>0.01</v>
      </c>
      <c r="D41" s="123">
        <v>50000</v>
      </c>
      <c r="E41" s="122">
        <v>500</v>
      </c>
    </row>
    <row r="42" spans="1:5" x14ac:dyDescent="0.25">
      <c r="A42" s="119">
        <f t="shared" si="0"/>
        <v>41</v>
      </c>
      <c r="B42" s="120" t="s">
        <v>199</v>
      </c>
      <c r="C42" s="121">
        <v>0.01</v>
      </c>
      <c r="D42" s="117">
        <v>10000</v>
      </c>
      <c r="E42" s="122">
        <v>100</v>
      </c>
    </row>
    <row r="43" spans="1:5" x14ac:dyDescent="0.25">
      <c r="A43" s="119">
        <f t="shared" si="0"/>
        <v>42</v>
      </c>
      <c r="B43" s="120" t="s">
        <v>198</v>
      </c>
      <c r="C43" s="121">
        <v>0.01</v>
      </c>
      <c r="D43" s="117">
        <v>4500</v>
      </c>
      <c r="E43" s="122">
        <v>45</v>
      </c>
    </row>
    <row r="44" spans="1:5" x14ac:dyDescent="0.25">
      <c r="A44" s="119">
        <f t="shared" si="0"/>
        <v>43</v>
      </c>
      <c r="B44" s="120" t="s">
        <v>203</v>
      </c>
      <c r="C44" s="121">
        <v>0.01</v>
      </c>
      <c r="D44" s="117">
        <v>5800</v>
      </c>
      <c r="E44" s="122">
        <v>58</v>
      </c>
    </row>
    <row r="45" spans="1:5" x14ac:dyDescent="0.25">
      <c r="A45" s="119">
        <f t="shared" si="0"/>
        <v>44</v>
      </c>
      <c r="B45" s="120" t="s">
        <v>204</v>
      </c>
      <c r="C45" s="121">
        <v>0.01</v>
      </c>
      <c r="D45" s="117">
        <v>700</v>
      </c>
      <c r="E45" s="122">
        <v>7</v>
      </c>
    </row>
    <row r="46" spans="1:5" x14ac:dyDescent="0.25">
      <c r="A46" s="119">
        <f t="shared" si="0"/>
        <v>45</v>
      </c>
      <c r="B46" s="120" t="s">
        <v>194</v>
      </c>
      <c r="C46" s="121">
        <v>0.01</v>
      </c>
      <c r="D46" s="117">
        <v>5700</v>
      </c>
      <c r="E46" s="122">
        <v>57</v>
      </c>
    </row>
    <row r="47" spans="1:5" x14ac:dyDescent="0.25">
      <c r="A47" s="119">
        <f t="shared" si="0"/>
        <v>46</v>
      </c>
      <c r="B47" s="120" t="s">
        <v>209</v>
      </c>
      <c r="C47" s="121">
        <v>0.01</v>
      </c>
      <c r="D47" s="117">
        <v>5625</v>
      </c>
      <c r="E47" s="122">
        <v>56</v>
      </c>
    </row>
    <row r="48" spans="1:5" x14ac:dyDescent="0.25">
      <c r="A48" s="119">
        <f t="shared" si="0"/>
        <v>47</v>
      </c>
      <c r="B48" s="120" t="s">
        <v>192</v>
      </c>
      <c r="C48" s="121">
        <v>0.01</v>
      </c>
      <c r="D48" s="117">
        <v>10200</v>
      </c>
      <c r="E48" s="122">
        <v>102</v>
      </c>
    </row>
    <row r="49" spans="1:5" x14ac:dyDescent="0.25">
      <c r="A49" s="119">
        <f t="shared" si="0"/>
        <v>48</v>
      </c>
      <c r="B49" s="120" t="s">
        <v>193</v>
      </c>
      <c r="C49" s="121">
        <v>0.01</v>
      </c>
      <c r="D49" s="117">
        <v>3050</v>
      </c>
      <c r="E49" s="122">
        <v>30</v>
      </c>
    </row>
    <row r="50" spans="1:5" x14ac:dyDescent="0.25">
      <c r="A50" s="119">
        <f t="shared" si="0"/>
        <v>49</v>
      </c>
      <c r="B50" s="120" t="s">
        <v>212</v>
      </c>
      <c r="C50" s="121">
        <v>0.01</v>
      </c>
      <c r="D50" s="117">
        <v>3425</v>
      </c>
      <c r="E50" s="122">
        <v>34</v>
      </c>
    </row>
    <row r="51" spans="1:5" x14ac:dyDescent="0.25">
      <c r="A51" s="119">
        <f t="shared" si="0"/>
        <v>50</v>
      </c>
      <c r="B51" s="120" t="s">
        <v>214</v>
      </c>
      <c r="C51" s="121">
        <v>0.01</v>
      </c>
      <c r="D51" s="117">
        <v>2200</v>
      </c>
      <c r="E51" s="122">
        <v>22</v>
      </c>
    </row>
    <row r="52" spans="1:5" x14ac:dyDescent="0.25">
      <c r="A52" s="119">
        <f t="shared" si="0"/>
        <v>51</v>
      </c>
      <c r="B52" s="120" t="s">
        <v>203</v>
      </c>
      <c r="C52" s="121">
        <v>0.01</v>
      </c>
      <c r="D52" s="117">
        <v>7400</v>
      </c>
      <c r="E52" s="122">
        <v>74</v>
      </c>
    </row>
    <row r="53" spans="1:5" x14ac:dyDescent="0.25">
      <c r="A53" s="119">
        <f t="shared" si="0"/>
        <v>52</v>
      </c>
      <c r="B53" s="120" t="s">
        <v>204</v>
      </c>
      <c r="C53" s="121">
        <v>0.01</v>
      </c>
      <c r="D53" s="117">
        <v>700</v>
      </c>
      <c r="E53" s="122">
        <v>7</v>
      </c>
    </row>
    <row r="54" spans="1:5" x14ac:dyDescent="0.25">
      <c r="A54" s="119">
        <f t="shared" si="0"/>
        <v>53</v>
      </c>
      <c r="B54" s="120" t="s">
        <v>215</v>
      </c>
      <c r="C54" s="121">
        <v>0.01</v>
      </c>
      <c r="D54" s="117">
        <v>1950</v>
      </c>
      <c r="E54" s="122">
        <v>20</v>
      </c>
    </row>
    <row r="55" spans="1:5" x14ac:dyDescent="0.25">
      <c r="A55" s="119">
        <f t="shared" si="0"/>
        <v>54</v>
      </c>
      <c r="B55" s="120" t="s">
        <v>216</v>
      </c>
      <c r="C55" s="121">
        <v>0.01</v>
      </c>
      <c r="D55" s="117">
        <v>18800</v>
      </c>
      <c r="E55" s="122">
        <v>188</v>
      </c>
    </row>
    <row r="56" spans="1:5" x14ac:dyDescent="0.25">
      <c r="A56" s="119">
        <f t="shared" si="0"/>
        <v>55</v>
      </c>
      <c r="B56" s="120" t="s">
        <v>210</v>
      </c>
      <c r="C56" s="121">
        <v>0.01</v>
      </c>
      <c r="D56" s="124">
        <v>50000</v>
      </c>
      <c r="E56" s="122">
        <v>500</v>
      </c>
    </row>
    <row r="57" spans="1:5" x14ac:dyDescent="0.25">
      <c r="A57" s="119"/>
      <c r="B57" s="125" t="s">
        <v>44</v>
      </c>
      <c r="C57" s="121"/>
      <c r="D57" s="126">
        <f>SUM(D2:D56)</f>
        <v>821460</v>
      </c>
      <c r="E57" s="127">
        <f>SUM(E2:E56)</f>
        <v>8236</v>
      </c>
    </row>
    <row r="58" spans="1:5" x14ac:dyDescent="0.25">
      <c r="A58" s="128" t="s">
        <v>217</v>
      </c>
      <c r="B58" s="116" t="s">
        <v>218</v>
      </c>
      <c r="C58" s="116" t="s">
        <v>219</v>
      </c>
      <c r="D58" s="117" t="s">
        <v>220</v>
      </c>
      <c r="E58" s="117" t="s">
        <v>221</v>
      </c>
    </row>
    <row r="59" spans="1:5" x14ac:dyDescent="0.25">
      <c r="A59" s="129"/>
      <c r="B59" s="120"/>
      <c r="C59" s="130"/>
      <c r="D59" s="124"/>
      <c r="E59" s="131"/>
    </row>
    <row r="60" spans="1:5" x14ac:dyDescent="0.25">
      <c r="A60" s="129">
        <v>1</v>
      </c>
      <c r="B60" s="120" t="s">
        <v>222</v>
      </c>
      <c r="C60" s="130">
        <v>0.1</v>
      </c>
      <c r="D60" s="124">
        <v>52500</v>
      </c>
      <c r="E60" s="122">
        <v>5250</v>
      </c>
    </row>
    <row r="61" spans="1:5" x14ac:dyDescent="0.25">
      <c r="A61" s="129">
        <f>A60+1</f>
        <v>2</v>
      </c>
      <c r="B61" s="120" t="s">
        <v>223</v>
      </c>
      <c r="C61" s="130">
        <v>0.1</v>
      </c>
      <c r="D61" s="124">
        <v>62016</v>
      </c>
      <c r="E61" s="122">
        <v>6202</v>
      </c>
    </row>
    <row r="62" spans="1:5" x14ac:dyDescent="0.25">
      <c r="A62" s="129">
        <f t="shared" ref="A62:A75" si="1">A61+1</f>
        <v>3</v>
      </c>
      <c r="B62" s="120" t="s">
        <v>224</v>
      </c>
      <c r="C62" s="130">
        <v>0.1</v>
      </c>
      <c r="D62" s="124">
        <v>93024</v>
      </c>
      <c r="E62" s="122">
        <v>9302</v>
      </c>
    </row>
    <row r="63" spans="1:5" x14ac:dyDescent="0.25">
      <c r="A63" s="129">
        <f t="shared" si="1"/>
        <v>4</v>
      </c>
      <c r="B63" s="120" t="s">
        <v>223</v>
      </c>
      <c r="C63" s="130">
        <v>0.1</v>
      </c>
      <c r="D63" s="124">
        <v>31000</v>
      </c>
      <c r="E63" s="122">
        <v>3100</v>
      </c>
    </row>
    <row r="64" spans="1:5" x14ac:dyDescent="0.25">
      <c r="A64" s="129">
        <f t="shared" si="1"/>
        <v>5</v>
      </c>
      <c r="B64" s="120" t="s">
        <v>225</v>
      </c>
      <c r="C64" s="130">
        <v>0.1</v>
      </c>
      <c r="D64" s="117">
        <v>69813</v>
      </c>
      <c r="E64" s="122">
        <v>6981</v>
      </c>
    </row>
    <row r="65" spans="1:5" x14ac:dyDescent="0.25">
      <c r="A65" s="129">
        <f t="shared" si="1"/>
        <v>6</v>
      </c>
      <c r="B65" s="120" t="s">
        <v>223</v>
      </c>
      <c r="C65" s="130">
        <v>0.1</v>
      </c>
      <c r="D65" s="117">
        <v>18500</v>
      </c>
      <c r="E65" s="122">
        <v>1850</v>
      </c>
    </row>
    <row r="66" spans="1:5" x14ac:dyDescent="0.25">
      <c r="A66" s="129">
        <f t="shared" si="1"/>
        <v>7</v>
      </c>
      <c r="B66" s="120" t="s">
        <v>223</v>
      </c>
      <c r="C66" s="130">
        <v>0.1</v>
      </c>
      <c r="D66" s="117">
        <v>7700</v>
      </c>
      <c r="E66" s="122">
        <v>770</v>
      </c>
    </row>
    <row r="67" spans="1:5" x14ac:dyDescent="0.25">
      <c r="A67" s="129">
        <f t="shared" si="1"/>
        <v>8</v>
      </c>
      <c r="B67" s="120" t="s">
        <v>226</v>
      </c>
      <c r="C67" s="130">
        <v>0.1</v>
      </c>
      <c r="D67" s="117">
        <v>15000</v>
      </c>
      <c r="E67" s="122">
        <v>1500</v>
      </c>
    </row>
    <row r="68" spans="1:5" x14ac:dyDescent="0.25">
      <c r="A68" s="129">
        <f t="shared" si="1"/>
        <v>9</v>
      </c>
      <c r="B68" s="120" t="s">
        <v>224</v>
      </c>
      <c r="C68" s="130">
        <v>0.1</v>
      </c>
      <c r="D68" s="117">
        <v>93024</v>
      </c>
      <c r="E68" s="122">
        <v>9302</v>
      </c>
    </row>
    <row r="69" spans="1:5" x14ac:dyDescent="0.25">
      <c r="A69" s="129">
        <f t="shared" si="1"/>
        <v>10</v>
      </c>
      <c r="B69" s="120" t="s">
        <v>223</v>
      </c>
      <c r="C69" s="130">
        <v>0.1</v>
      </c>
      <c r="D69" s="117">
        <v>32000</v>
      </c>
      <c r="E69" s="122">
        <v>3200</v>
      </c>
    </row>
    <row r="70" spans="1:5" x14ac:dyDescent="0.25">
      <c r="A70" s="129">
        <f t="shared" si="1"/>
        <v>11</v>
      </c>
      <c r="B70" s="120" t="s">
        <v>223</v>
      </c>
      <c r="C70" s="130">
        <v>0.1</v>
      </c>
      <c r="D70" s="117">
        <v>3447</v>
      </c>
      <c r="E70" s="122">
        <v>345</v>
      </c>
    </row>
    <row r="71" spans="1:5" x14ac:dyDescent="0.25">
      <c r="A71" s="129">
        <f t="shared" si="1"/>
        <v>12</v>
      </c>
      <c r="B71" s="120" t="s">
        <v>223</v>
      </c>
      <c r="C71" s="130">
        <v>0.1</v>
      </c>
      <c r="D71" s="117">
        <v>4720</v>
      </c>
      <c r="E71" s="122">
        <v>472</v>
      </c>
    </row>
    <row r="72" spans="1:5" x14ac:dyDescent="0.25">
      <c r="A72" s="129">
        <f t="shared" si="1"/>
        <v>13</v>
      </c>
      <c r="B72" s="120" t="s">
        <v>223</v>
      </c>
      <c r="C72" s="130">
        <v>0.1</v>
      </c>
      <c r="D72" s="117">
        <v>1200</v>
      </c>
      <c r="E72" s="122">
        <v>120</v>
      </c>
    </row>
    <row r="73" spans="1:5" x14ac:dyDescent="0.25">
      <c r="A73" s="129">
        <f t="shared" si="1"/>
        <v>14</v>
      </c>
      <c r="B73" s="120" t="s">
        <v>223</v>
      </c>
      <c r="C73" s="130">
        <v>0.1</v>
      </c>
      <c r="D73" s="117">
        <v>62016</v>
      </c>
      <c r="E73" s="122">
        <v>6202</v>
      </c>
    </row>
    <row r="74" spans="1:5" x14ac:dyDescent="0.25">
      <c r="A74" s="129">
        <f t="shared" si="1"/>
        <v>15</v>
      </c>
      <c r="B74" s="120" t="s">
        <v>223</v>
      </c>
      <c r="C74" s="130">
        <v>0.1</v>
      </c>
      <c r="D74" s="117">
        <v>4085</v>
      </c>
      <c r="E74" s="122">
        <v>409</v>
      </c>
    </row>
    <row r="75" spans="1:5" x14ac:dyDescent="0.25">
      <c r="A75" s="129">
        <f t="shared" si="1"/>
        <v>16</v>
      </c>
      <c r="B75" s="120" t="s">
        <v>223</v>
      </c>
      <c r="C75" s="130">
        <v>0.1</v>
      </c>
      <c r="D75" s="117">
        <v>95520</v>
      </c>
      <c r="E75" s="122">
        <v>9552</v>
      </c>
    </row>
    <row r="76" spans="1:5" ht="15.75" thickBot="1" x14ac:dyDescent="0.3">
      <c r="A76" s="128"/>
      <c r="B76" s="132" t="s">
        <v>44</v>
      </c>
      <c r="C76" s="133"/>
      <c r="D76" s="134">
        <f>SUM(D60:D75)</f>
        <v>645565</v>
      </c>
      <c r="E76" s="134">
        <f>SUM(E60:E75)</f>
        <v>64557</v>
      </c>
    </row>
    <row r="77" spans="1:5" ht="15.75" thickTop="1" x14ac:dyDescent="0.25">
      <c r="A77" s="128"/>
      <c r="B77" s="116"/>
      <c r="C77" s="133"/>
      <c r="D77" s="117"/>
      <c r="E77" s="122"/>
    </row>
    <row r="78" spans="1:5" x14ac:dyDescent="0.25">
      <c r="A78" s="128" t="s">
        <v>217</v>
      </c>
      <c r="B78" s="116" t="s">
        <v>218</v>
      </c>
      <c r="C78" s="116" t="s">
        <v>219</v>
      </c>
      <c r="D78" s="117" t="s">
        <v>220</v>
      </c>
      <c r="E78" s="117" t="s">
        <v>221</v>
      </c>
    </row>
    <row r="79" spans="1:5" x14ac:dyDescent="0.25">
      <c r="A79" s="128"/>
      <c r="B79" s="116"/>
      <c r="C79" s="133"/>
      <c r="D79" s="117"/>
      <c r="E79" s="122"/>
    </row>
    <row r="80" spans="1:5" x14ac:dyDescent="0.25">
      <c r="A80" s="128">
        <v>1</v>
      </c>
      <c r="B80" s="120" t="s">
        <v>227</v>
      </c>
      <c r="C80" s="133">
        <v>0.02</v>
      </c>
      <c r="D80" s="117">
        <v>23795</v>
      </c>
      <c r="E80" s="122">
        <v>476</v>
      </c>
    </row>
    <row r="81" spans="1:5" x14ac:dyDescent="0.25">
      <c r="A81" s="128">
        <f>A80+1</f>
        <v>2</v>
      </c>
      <c r="B81" s="120" t="s">
        <v>228</v>
      </c>
      <c r="C81" s="133">
        <v>0.02</v>
      </c>
      <c r="D81" s="117">
        <v>3500</v>
      </c>
      <c r="E81" s="122">
        <v>70</v>
      </c>
    </row>
    <row r="82" spans="1:5" x14ac:dyDescent="0.25">
      <c r="A82" s="128">
        <f t="shared" ref="A82:A104" si="2">A81+1</f>
        <v>3</v>
      </c>
      <c r="B82" s="120" t="s">
        <v>201</v>
      </c>
      <c r="C82" s="133">
        <v>0.02</v>
      </c>
      <c r="D82" s="117">
        <v>7000</v>
      </c>
      <c r="E82" s="122">
        <v>14</v>
      </c>
    </row>
    <row r="83" spans="1:5" x14ac:dyDescent="0.25">
      <c r="A83" s="128">
        <f t="shared" si="2"/>
        <v>4</v>
      </c>
      <c r="B83" s="120" t="s">
        <v>229</v>
      </c>
      <c r="C83" s="133">
        <v>0.02</v>
      </c>
      <c r="D83" s="117">
        <v>18400</v>
      </c>
      <c r="E83" s="122">
        <v>368</v>
      </c>
    </row>
    <row r="84" spans="1:5" x14ac:dyDescent="0.25">
      <c r="A84" s="128">
        <f t="shared" si="2"/>
        <v>5</v>
      </c>
      <c r="B84" s="120" t="s">
        <v>230</v>
      </c>
      <c r="C84" s="133">
        <v>0.02</v>
      </c>
      <c r="D84" s="117">
        <v>1800</v>
      </c>
      <c r="E84" s="122">
        <v>36</v>
      </c>
    </row>
    <row r="85" spans="1:5" x14ac:dyDescent="0.25">
      <c r="A85" s="128">
        <f t="shared" si="2"/>
        <v>6</v>
      </c>
      <c r="B85" s="120" t="s">
        <v>231</v>
      </c>
      <c r="C85" s="133">
        <v>0.02</v>
      </c>
      <c r="D85" s="117">
        <v>1800</v>
      </c>
      <c r="E85" s="122">
        <v>36</v>
      </c>
    </row>
    <row r="86" spans="1:5" x14ac:dyDescent="0.25">
      <c r="A86" s="128">
        <f t="shared" si="2"/>
        <v>7</v>
      </c>
      <c r="B86" s="120" t="s">
        <v>232</v>
      </c>
      <c r="C86" s="133">
        <v>0.02</v>
      </c>
      <c r="D86" s="117">
        <v>4662</v>
      </c>
      <c r="E86" s="122">
        <v>93</v>
      </c>
    </row>
    <row r="87" spans="1:5" x14ac:dyDescent="0.25">
      <c r="A87" s="128">
        <f t="shared" si="2"/>
        <v>8</v>
      </c>
      <c r="B87" s="120" t="s">
        <v>232</v>
      </c>
      <c r="C87" s="133">
        <v>0.02</v>
      </c>
      <c r="D87" s="117">
        <v>9450</v>
      </c>
      <c r="E87" s="122">
        <v>189</v>
      </c>
    </row>
    <row r="88" spans="1:5" x14ac:dyDescent="0.25">
      <c r="A88" s="128">
        <f t="shared" si="2"/>
        <v>9</v>
      </c>
      <c r="B88" s="120" t="s">
        <v>227</v>
      </c>
      <c r="C88" s="133">
        <v>0.02</v>
      </c>
      <c r="D88" s="117">
        <v>29340</v>
      </c>
      <c r="E88" s="122">
        <v>587</v>
      </c>
    </row>
    <row r="89" spans="1:5" x14ac:dyDescent="0.25">
      <c r="A89" s="128">
        <f t="shared" si="2"/>
        <v>10</v>
      </c>
      <c r="B89" s="120" t="s">
        <v>228</v>
      </c>
      <c r="C89" s="133">
        <v>0.02</v>
      </c>
      <c r="D89" s="135">
        <v>2800</v>
      </c>
      <c r="E89" s="122">
        <v>56</v>
      </c>
    </row>
    <row r="90" spans="1:5" x14ac:dyDescent="0.25">
      <c r="A90" s="128">
        <f t="shared" si="2"/>
        <v>11</v>
      </c>
      <c r="B90" s="120" t="s">
        <v>201</v>
      </c>
      <c r="C90" s="133">
        <v>0.02</v>
      </c>
      <c r="D90" s="117">
        <v>2100</v>
      </c>
      <c r="E90" s="122">
        <v>42</v>
      </c>
    </row>
    <row r="91" spans="1:5" x14ac:dyDescent="0.25">
      <c r="A91" s="128">
        <f t="shared" si="2"/>
        <v>12</v>
      </c>
      <c r="B91" s="120" t="s">
        <v>227</v>
      </c>
      <c r="C91" s="133">
        <v>0.02</v>
      </c>
      <c r="D91" s="117">
        <v>26990</v>
      </c>
      <c r="E91" s="122">
        <v>540</v>
      </c>
    </row>
    <row r="92" spans="1:5" x14ac:dyDescent="0.25">
      <c r="A92" s="128">
        <f t="shared" si="2"/>
        <v>13</v>
      </c>
      <c r="B92" s="120" t="s">
        <v>227</v>
      </c>
      <c r="C92" s="133">
        <v>0.02</v>
      </c>
      <c r="D92" s="117">
        <v>13635</v>
      </c>
      <c r="E92" s="122">
        <v>273</v>
      </c>
    </row>
    <row r="93" spans="1:5" x14ac:dyDescent="0.25">
      <c r="A93" s="128">
        <f t="shared" si="2"/>
        <v>14</v>
      </c>
      <c r="B93" s="120" t="s">
        <v>233</v>
      </c>
      <c r="C93" s="133">
        <v>0.02</v>
      </c>
      <c r="D93" s="117">
        <v>16443</v>
      </c>
      <c r="E93" s="122">
        <v>329</v>
      </c>
    </row>
    <row r="94" spans="1:5" x14ac:dyDescent="0.25">
      <c r="A94" s="128">
        <f t="shared" si="2"/>
        <v>15</v>
      </c>
      <c r="B94" s="120" t="s">
        <v>234</v>
      </c>
      <c r="C94" s="133">
        <v>0.02</v>
      </c>
      <c r="D94" s="117">
        <v>18100</v>
      </c>
      <c r="E94" s="122">
        <v>362</v>
      </c>
    </row>
    <row r="95" spans="1:5" x14ac:dyDescent="0.25">
      <c r="A95" s="128">
        <f t="shared" si="2"/>
        <v>16</v>
      </c>
      <c r="B95" s="120" t="s">
        <v>234</v>
      </c>
      <c r="C95" s="133">
        <v>0.02</v>
      </c>
      <c r="D95" s="117">
        <v>25100</v>
      </c>
      <c r="E95" s="122">
        <v>502</v>
      </c>
    </row>
    <row r="96" spans="1:5" x14ac:dyDescent="0.25">
      <c r="A96" s="128">
        <f t="shared" si="2"/>
        <v>17</v>
      </c>
      <c r="B96" s="120" t="s">
        <v>233</v>
      </c>
      <c r="C96" s="133">
        <v>0.02</v>
      </c>
      <c r="D96" s="117">
        <v>16012</v>
      </c>
      <c r="E96" s="122">
        <v>320</v>
      </c>
    </row>
    <row r="97" spans="1:5" x14ac:dyDescent="0.25">
      <c r="A97" s="128">
        <f t="shared" si="2"/>
        <v>18</v>
      </c>
      <c r="B97" s="120" t="s">
        <v>228</v>
      </c>
      <c r="C97" s="133">
        <v>0.02</v>
      </c>
      <c r="D97" s="117">
        <v>4200</v>
      </c>
      <c r="E97" s="122">
        <v>84</v>
      </c>
    </row>
    <row r="98" spans="1:5" x14ac:dyDescent="0.25">
      <c r="A98" s="128">
        <f t="shared" si="2"/>
        <v>19</v>
      </c>
      <c r="B98" s="120" t="s">
        <v>227</v>
      </c>
      <c r="C98" s="133">
        <v>0.02</v>
      </c>
      <c r="D98" s="117">
        <v>14670</v>
      </c>
      <c r="E98" s="122">
        <v>294</v>
      </c>
    </row>
    <row r="99" spans="1:5" x14ac:dyDescent="0.25">
      <c r="A99" s="128">
        <f t="shared" si="2"/>
        <v>20</v>
      </c>
      <c r="B99" s="120" t="s">
        <v>228</v>
      </c>
      <c r="C99" s="133">
        <v>0.02</v>
      </c>
      <c r="D99" s="117">
        <v>700</v>
      </c>
      <c r="E99" s="122">
        <v>14</v>
      </c>
    </row>
    <row r="100" spans="1:5" x14ac:dyDescent="0.25">
      <c r="A100" s="128">
        <f t="shared" si="2"/>
        <v>21</v>
      </c>
      <c r="B100" s="120" t="s">
        <v>201</v>
      </c>
      <c r="C100" s="133">
        <v>0.02</v>
      </c>
      <c r="D100" s="117">
        <v>1400</v>
      </c>
      <c r="E100" s="122">
        <v>28</v>
      </c>
    </row>
    <row r="101" spans="1:5" x14ac:dyDescent="0.25">
      <c r="A101" s="128">
        <f t="shared" si="2"/>
        <v>22</v>
      </c>
      <c r="B101" s="120" t="s">
        <v>235</v>
      </c>
      <c r="C101" s="133">
        <v>0.02</v>
      </c>
      <c r="D101" s="135">
        <v>2700</v>
      </c>
      <c r="E101" s="122">
        <v>54</v>
      </c>
    </row>
    <row r="102" spans="1:5" x14ac:dyDescent="0.25">
      <c r="A102" s="128">
        <f t="shared" si="2"/>
        <v>23</v>
      </c>
      <c r="B102" s="120" t="s">
        <v>228</v>
      </c>
      <c r="C102" s="133">
        <v>0.02</v>
      </c>
      <c r="D102" s="117">
        <v>4200</v>
      </c>
      <c r="E102" s="122">
        <v>84</v>
      </c>
    </row>
    <row r="103" spans="1:5" x14ac:dyDescent="0.25">
      <c r="A103" s="128">
        <f t="shared" si="2"/>
        <v>24</v>
      </c>
      <c r="B103" s="120" t="s">
        <v>235</v>
      </c>
      <c r="C103" s="133">
        <v>0.02</v>
      </c>
      <c r="D103" s="117">
        <v>5490</v>
      </c>
      <c r="E103" s="122">
        <v>110</v>
      </c>
    </row>
    <row r="104" spans="1:5" x14ac:dyDescent="0.25">
      <c r="A104" s="128">
        <f t="shared" si="2"/>
        <v>25</v>
      </c>
      <c r="B104" s="120" t="s">
        <v>235</v>
      </c>
      <c r="C104" s="133">
        <v>0.02</v>
      </c>
      <c r="D104" s="117">
        <v>2700</v>
      </c>
      <c r="E104" s="122">
        <v>54</v>
      </c>
    </row>
    <row r="105" spans="1:5" ht="15.75" thickBot="1" x14ac:dyDescent="0.3">
      <c r="A105" s="128"/>
      <c r="B105" s="116" t="s">
        <v>44</v>
      </c>
      <c r="C105" s="116"/>
      <c r="D105" s="134">
        <f>SUM(D80:D104)</f>
        <v>256987</v>
      </c>
      <c r="E105" s="134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2022-09-05T12:13:43Z</dcterms:modified>
</cp:coreProperties>
</file>