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66F6FD36-326F-4322-AEF3-94C50AF917F2}" xr6:coauthVersionLast="47" xr6:coauthVersionMax="47" xr10:uidLastSave="{00000000-0000-0000-0000-000000000000}"/>
  <bookViews>
    <workbookView xWindow="30" yWindow="60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3" l="1"/>
  <c r="I60" i="3"/>
  <c r="I57" i="3"/>
  <c r="I29" i="3"/>
  <c r="N9" i="3"/>
  <c r="L10" i="3"/>
  <c r="V10" i="3"/>
  <c r="V9" i="3"/>
  <c r="S10" i="3"/>
  <c r="S9" i="3"/>
  <c r="U9" i="3"/>
  <c r="L9" i="3"/>
  <c r="U20" i="3"/>
  <c r="U19" i="3"/>
  <c r="U11" i="3"/>
  <c r="U8" i="3"/>
  <c r="U7" i="3"/>
  <c r="U6" i="3"/>
  <c r="S52" i="3"/>
  <c r="S48" i="3"/>
  <c r="S45" i="3"/>
  <c r="S44" i="3"/>
  <c r="S42" i="3"/>
  <c r="S41" i="3"/>
  <c r="S40" i="3"/>
  <c r="S30" i="3"/>
  <c r="S29" i="3"/>
  <c r="S27" i="3"/>
  <c r="S25" i="3"/>
  <c r="S23" i="3"/>
  <c r="S22" i="3"/>
  <c r="S20" i="3"/>
  <c r="S19" i="3"/>
  <c r="S18" i="3"/>
  <c r="S17" i="3"/>
  <c r="S16" i="3"/>
  <c r="S15" i="3"/>
  <c r="S14" i="3"/>
  <c r="S13" i="3"/>
  <c r="S12" i="3"/>
  <c r="S11" i="3"/>
  <c r="S8" i="3"/>
  <c r="S7" i="3"/>
  <c r="S6" i="3"/>
  <c r="R64" i="3"/>
  <c r="R48" i="3"/>
  <c r="R12" i="3"/>
  <c r="Q67" i="3"/>
  <c r="Q66" i="3"/>
  <c r="Q64" i="3"/>
  <c r="Q63" i="3"/>
  <c r="Q62" i="3"/>
  <c r="Q59" i="3"/>
  <c r="Q54" i="3"/>
  <c r="Q51" i="3"/>
  <c r="Q50" i="3"/>
  <c r="Q48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0" i="3"/>
  <c r="Q28" i="3"/>
  <c r="Q26" i="3"/>
  <c r="Q25" i="3"/>
  <c r="Q24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Q8" i="3"/>
  <c r="Q7" i="3"/>
  <c r="Q6" i="3"/>
  <c r="P49" i="3"/>
  <c r="P48" i="3"/>
  <c r="P47" i="3"/>
  <c r="P46" i="3"/>
  <c r="P38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8" i="3"/>
  <c r="P7" i="3"/>
  <c r="P6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V52" i="3" s="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K28" i="3"/>
  <c r="I23" i="3"/>
  <c r="L6" i="3"/>
  <c r="R52" i="3" l="1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20" i="3"/>
  <c r="R56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16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28" i="3"/>
  <c r="R24" i="3"/>
  <c r="R36" i="3"/>
  <c r="R40" i="3"/>
  <c r="R44" i="3"/>
  <c r="R32" i="3"/>
  <c r="R6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I52" i="3"/>
  <c r="N52" i="3" s="1"/>
  <c r="I61" i="3"/>
  <c r="I56" i="3"/>
  <c r="I47" i="3" l="1"/>
  <c r="I46" i="3"/>
  <c r="I31" i="3"/>
  <c r="I28" i="3"/>
  <c r="L12" i="3"/>
  <c r="L11" i="3"/>
  <c r="I65" i="3" l="1"/>
  <c r="K65" i="3"/>
  <c r="I55" i="3"/>
  <c r="I53" i="3"/>
  <c r="I50" i="3"/>
  <c r="K42" i="3"/>
  <c r="I41" i="3"/>
  <c r="L21" i="3"/>
  <c r="L20" i="3"/>
  <c r="L19" i="3"/>
  <c r="L17" i="3"/>
  <c r="L13" i="3"/>
  <c r="I12" i="3"/>
  <c r="K9" i="3"/>
  <c r="L8" i="3"/>
  <c r="L7" i="3"/>
  <c r="L20" i="6"/>
  <c r="L5" i="6"/>
  <c r="I58" i="3"/>
  <c r="I51" i="3"/>
  <c r="I48" i="3"/>
  <c r="I43" i="3"/>
  <c r="I42" i="3"/>
  <c r="I38" i="3"/>
  <c r="L22" i="3"/>
  <c r="K20" i="3"/>
  <c r="I20" i="3"/>
  <c r="I64" i="3"/>
  <c r="I59" i="3"/>
  <c r="I54" i="3"/>
  <c r="K43" i="3"/>
  <c r="K18" i="3"/>
  <c r="I17" i="3"/>
  <c r="M14" i="3"/>
  <c r="K14" i="3"/>
  <c r="I14" i="3"/>
  <c r="K13" i="3"/>
  <c r="I13" i="3"/>
  <c r="K12" i="3"/>
  <c r="I6" i="3"/>
  <c r="N61" i="3"/>
  <c r="F25" i="6" l="1"/>
  <c r="L15" i="3" l="1"/>
  <c r="L16" i="3"/>
  <c r="L18" i="3"/>
  <c r="L23" i="3"/>
  <c r="L24" i="3"/>
  <c r="L25" i="3"/>
  <c r="L27" i="3"/>
  <c r="L28" i="3"/>
  <c r="L29" i="3"/>
  <c r="L30" i="3"/>
  <c r="L38" i="3"/>
  <c r="L46" i="3"/>
  <c r="L47" i="3"/>
  <c r="L48" i="3"/>
  <c r="L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N67" i="3"/>
  <c r="N66" i="3"/>
  <c r="N65" i="3"/>
  <c r="N59" i="3"/>
  <c r="N58" i="3"/>
  <c r="N57" i="3"/>
  <c r="N56" i="3"/>
  <c r="N54" i="3"/>
  <c r="N44" i="3"/>
  <c r="K6" i="3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T62" i="3" l="1"/>
  <c r="V62" i="3" s="1"/>
  <c r="T46" i="3"/>
  <c r="V46" i="3" s="1"/>
  <c r="G69" i="3"/>
  <c r="R68" i="3"/>
  <c r="T9" i="3"/>
  <c r="T10" i="3"/>
  <c r="T11" i="3"/>
  <c r="V11" i="3" s="1"/>
  <c r="T15" i="3"/>
  <c r="V15" i="3" s="1"/>
  <c r="T19" i="3"/>
  <c r="V19" i="3" s="1"/>
  <c r="T20" i="3"/>
  <c r="V20" i="3" s="1"/>
  <c r="T21" i="3"/>
  <c r="V21" i="3" s="1"/>
  <c r="T22" i="3"/>
  <c r="V22" i="3" s="1"/>
  <c r="T24" i="3"/>
  <c r="V24" i="3" s="1"/>
  <c r="T26" i="3"/>
  <c r="V26" i="3" s="1"/>
  <c r="T27" i="3"/>
  <c r="V27" i="3" s="1"/>
  <c r="T28" i="3"/>
  <c r="V28" i="3" s="1"/>
  <c r="T29" i="3"/>
  <c r="V29" i="3" s="1"/>
  <c r="T30" i="3"/>
  <c r="V30" i="3" s="1"/>
  <c r="T31" i="3"/>
  <c r="V31" i="3" s="1"/>
  <c r="T32" i="3"/>
  <c r="V32" i="3" s="1"/>
  <c r="T33" i="3"/>
  <c r="V33" i="3" s="1"/>
  <c r="T34" i="3"/>
  <c r="V34" i="3" s="1"/>
  <c r="T35" i="3"/>
  <c r="V35" i="3" s="1"/>
  <c r="T36" i="3"/>
  <c r="V36" i="3" s="1"/>
  <c r="T37" i="3"/>
  <c r="V37" i="3" s="1"/>
  <c r="T38" i="3"/>
  <c r="V38" i="3" s="1"/>
  <c r="T39" i="3"/>
  <c r="V39" i="3" s="1"/>
  <c r="T40" i="3"/>
  <c r="V40" i="3" s="1"/>
  <c r="T41" i="3"/>
  <c r="V41" i="3" s="1"/>
  <c r="T42" i="3"/>
  <c r="V42" i="3" s="1"/>
  <c r="T43" i="3"/>
  <c r="V43" i="3" s="1"/>
  <c r="T44" i="3"/>
  <c r="V44" i="3" s="1"/>
  <c r="T45" i="3"/>
  <c r="V45" i="3" s="1"/>
  <c r="T47" i="3"/>
  <c r="V47" i="3" s="1"/>
  <c r="T48" i="3"/>
  <c r="V48" i="3" s="1"/>
  <c r="T49" i="3"/>
  <c r="V49" i="3" s="1"/>
  <c r="T50" i="3"/>
  <c r="V50" i="3" s="1"/>
  <c r="T51" i="3"/>
  <c r="V51" i="3" s="1"/>
  <c r="T53" i="3"/>
  <c r="V53" i="3" s="1"/>
  <c r="T54" i="3"/>
  <c r="V54" i="3" s="1"/>
  <c r="T55" i="3"/>
  <c r="V55" i="3" s="1"/>
  <c r="T56" i="3"/>
  <c r="V56" i="3" s="1"/>
  <c r="T57" i="3"/>
  <c r="V57" i="3" s="1"/>
  <c r="T58" i="3"/>
  <c r="V58" i="3" s="1"/>
  <c r="T59" i="3"/>
  <c r="V59" i="3" s="1"/>
  <c r="T60" i="3"/>
  <c r="V60" i="3" s="1"/>
  <c r="T61" i="3"/>
  <c r="V61" i="3" s="1"/>
  <c r="T63" i="3"/>
  <c r="V63" i="3" s="1"/>
  <c r="T64" i="3"/>
  <c r="V64" i="3" s="1"/>
  <c r="T65" i="3"/>
  <c r="V65" i="3" s="1"/>
  <c r="T66" i="3"/>
  <c r="V66" i="3" s="1"/>
  <c r="T67" i="3"/>
  <c r="V67" i="3" s="1"/>
  <c r="T68" i="3"/>
  <c r="V68" i="3" s="1"/>
  <c r="K64" i="3"/>
  <c r="K63" i="3"/>
  <c r="K62" i="3"/>
  <c r="I63" i="3"/>
  <c r="N60" i="3"/>
  <c r="N55" i="3"/>
  <c r="N53" i="3"/>
  <c r="N51" i="3"/>
  <c r="N50" i="3"/>
  <c r="N49" i="3"/>
  <c r="K48" i="3"/>
  <c r="K47" i="3"/>
  <c r="K45" i="3"/>
  <c r="I45" i="3"/>
  <c r="K41" i="3"/>
  <c r="K40" i="3"/>
  <c r="K39" i="3"/>
  <c r="K38" i="3"/>
  <c r="K37" i="3"/>
  <c r="I37" i="3"/>
  <c r="K36" i="3"/>
  <c r="I34" i="3"/>
  <c r="N34" i="3" s="1"/>
  <c r="K33" i="3"/>
  <c r="I33" i="3"/>
  <c r="K32" i="3"/>
  <c r="N31" i="3"/>
  <c r="H31" i="3"/>
  <c r="K30" i="3"/>
  <c r="K29" i="3"/>
  <c r="N29" i="3" s="1"/>
  <c r="K27" i="3"/>
  <c r="I27" i="3"/>
  <c r="K26" i="3"/>
  <c r="K25" i="3"/>
  <c r="I25" i="3"/>
  <c r="K24" i="3"/>
  <c r="I24" i="3"/>
  <c r="K23" i="3"/>
  <c r="K22" i="3"/>
  <c r="I22" i="3"/>
  <c r="N22" i="3" s="1"/>
  <c r="K21" i="3"/>
  <c r="I21" i="3"/>
  <c r="T8" i="3" l="1"/>
  <c r="V8" i="3" s="1"/>
  <c r="N24" i="3"/>
  <c r="N45" i="3"/>
  <c r="N47" i="3"/>
  <c r="N23" i="3"/>
  <c r="N38" i="3"/>
  <c r="N48" i="3"/>
  <c r="N64" i="3"/>
  <c r="T12" i="3"/>
  <c r="V12" i="3" s="1"/>
  <c r="T23" i="3"/>
  <c r="V23" i="3" s="1"/>
  <c r="J31" i="3"/>
  <c r="T17" i="3"/>
  <c r="V17" i="3" s="1"/>
  <c r="N28" i="3"/>
  <c r="N46" i="3"/>
  <c r="N63" i="3"/>
  <c r="T7" i="3"/>
  <c r="V7" i="3" s="1"/>
  <c r="T13" i="3"/>
  <c r="V13" i="3" s="1"/>
  <c r="T18" i="3"/>
  <c r="V18" i="3" s="1"/>
  <c r="T16" i="3"/>
  <c r="V16" i="3" s="1"/>
  <c r="T25" i="3"/>
  <c r="V25" i="3" s="1"/>
  <c r="N21" i="3"/>
  <c r="N25" i="3"/>
  <c r="N27" i="3"/>
  <c r="N33" i="3"/>
  <c r="N37" i="3"/>
  <c r="T6" i="3"/>
  <c r="V6" i="3" s="1"/>
  <c r="T14" i="3"/>
  <c r="V14" i="3" s="1"/>
  <c r="K19" i="3"/>
  <c r="I19" i="3"/>
  <c r="I18" i="3"/>
  <c r="K17" i="3"/>
  <c r="K16" i="3"/>
  <c r="I16" i="3"/>
  <c r="K15" i="3"/>
  <c r="N13" i="3"/>
  <c r="N12" i="3"/>
  <c r="K11" i="3"/>
  <c r="I11" i="3"/>
  <c r="K10" i="3"/>
  <c r="I10" i="3"/>
  <c r="I9" i="3"/>
  <c r="N19" i="3" l="1"/>
  <c r="N11" i="3"/>
  <c r="N10" i="3"/>
  <c r="N17" i="3"/>
  <c r="N18" i="3"/>
  <c r="V69" i="3"/>
  <c r="N16" i="3"/>
  <c r="N20" i="3"/>
  <c r="T69" i="3"/>
  <c r="K8" i="3"/>
  <c r="I8" i="3"/>
  <c r="K7" i="3"/>
  <c r="I7" i="3"/>
  <c r="N7" i="3" l="1"/>
  <c r="K69" i="3"/>
  <c r="N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W8" i="3"/>
  <c r="N14" i="3"/>
  <c r="W9" i="3"/>
  <c r="Z9" i="3" s="1"/>
  <c r="W44" i="3"/>
  <c r="Z44" i="3" s="1"/>
  <c r="W45" i="3"/>
  <c r="Z45" i="3" s="1"/>
  <c r="W48" i="3"/>
  <c r="Z48" i="3" s="1"/>
  <c r="W49" i="3"/>
  <c r="Z49" i="3" s="1"/>
  <c r="W50" i="3"/>
  <c r="Z50" i="3" s="1"/>
  <c r="Z51" i="3"/>
  <c r="W53" i="3"/>
  <c r="Z53" i="3" s="1"/>
  <c r="W54" i="3"/>
  <c r="Z54" i="3" s="1"/>
  <c r="W55" i="3"/>
  <c r="Z55" i="3" s="1"/>
  <c r="W56" i="3"/>
  <c r="Z56" i="3" s="1"/>
  <c r="W57" i="3"/>
  <c r="Z57" i="3" s="1"/>
  <c r="W58" i="3"/>
  <c r="Z58" i="3" s="1"/>
  <c r="W59" i="3"/>
  <c r="Z59" i="3" s="1"/>
  <c r="W60" i="3"/>
  <c r="Z60" i="3" s="1"/>
  <c r="W61" i="3"/>
  <c r="Z61" i="3" s="1"/>
  <c r="W66" i="3"/>
  <c r="Z66" i="3" s="1"/>
  <c r="W67" i="3"/>
  <c r="Z67" i="3" s="1"/>
  <c r="I62" i="3"/>
  <c r="N62" i="3" s="1"/>
  <c r="N43" i="3"/>
  <c r="N42" i="3"/>
  <c r="N41" i="3"/>
  <c r="I40" i="3"/>
  <c r="N40" i="3" s="1"/>
  <c r="I39" i="3"/>
  <c r="N39" i="3" s="1"/>
  <c r="I36" i="3"/>
  <c r="N36" i="3" s="1"/>
  <c r="N35" i="3"/>
  <c r="I32" i="3"/>
  <c r="N32" i="3" s="1"/>
  <c r="I30" i="3"/>
  <c r="N30" i="3" s="1"/>
  <c r="I26" i="3"/>
  <c r="N26" i="3" s="1"/>
  <c r="I15" i="3"/>
  <c r="N15" i="3" s="1"/>
  <c r="H7" i="3"/>
  <c r="H8" i="3"/>
  <c r="H9" i="3"/>
  <c r="J9" i="3" s="1"/>
  <c r="H10" i="3"/>
  <c r="J10" i="3" s="1"/>
  <c r="H11" i="3"/>
  <c r="H12" i="3"/>
  <c r="J12" i="3" s="1"/>
  <c r="H13" i="3"/>
  <c r="H14" i="3"/>
  <c r="H15" i="3"/>
  <c r="H16" i="3"/>
  <c r="H17" i="3"/>
  <c r="H18" i="3"/>
  <c r="H19" i="3"/>
  <c r="H20" i="3"/>
  <c r="H21" i="3"/>
  <c r="H22" i="3"/>
  <c r="J22" i="3" s="1"/>
  <c r="H23" i="3"/>
  <c r="H24" i="3"/>
  <c r="H25" i="3"/>
  <c r="H26" i="3"/>
  <c r="H27" i="3"/>
  <c r="H28" i="3"/>
  <c r="J28" i="3" s="1"/>
  <c r="H29" i="3"/>
  <c r="H30" i="3"/>
  <c r="H32" i="3"/>
  <c r="H33" i="3"/>
  <c r="H34" i="3"/>
  <c r="J34" i="3" s="1"/>
  <c r="H35" i="3"/>
  <c r="H36" i="3"/>
  <c r="H37" i="3"/>
  <c r="H38" i="3"/>
  <c r="J38" i="3" s="1"/>
  <c r="H39" i="3"/>
  <c r="H40" i="3"/>
  <c r="H41" i="3"/>
  <c r="H42" i="3"/>
  <c r="J42" i="3" s="1"/>
  <c r="H43" i="3"/>
  <c r="H44" i="3"/>
  <c r="J44" i="3" s="1"/>
  <c r="H45" i="3"/>
  <c r="J45" i="3" s="1"/>
  <c r="H46" i="3"/>
  <c r="H47" i="3"/>
  <c r="J47" i="3" s="1"/>
  <c r="H48" i="3"/>
  <c r="J48" i="3" s="1"/>
  <c r="H49" i="3"/>
  <c r="J49" i="3" s="1"/>
  <c r="H50" i="3"/>
  <c r="J50" i="3" s="1"/>
  <c r="H51" i="3"/>
  <c r="J51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H63" i="3"/>
  <c r="H64" i="3"/>
  <c r="H65" i="3"/>
  <c r="H66" i="3"/>
  <c r="J66" i="3" s="1"/>
  <c r="H67" i="3"/>
  <c r="J67" i="3" s="1"/>
  <c r="H6" i="3"/>
  <c r="Q2" i="3"/>
  <c r="J13" i="1"/>
  <c r="K13" i="1"/>
  <c r="K44" i="1"/>
  <c r="K41" i="1"/>
  <c r="M36" i="1"/>
  <c r="N2" i="1"/>
  <c r="J33" i="3" l="1"/>
  <c r="J20" i="3"/>
  <c r="J23" i="3"/>
  <c r="J64" i="3"/>
  <c r="J43" i="3"/>
  <c r="J39" i="3"/>
  <c r="J35" i="3"/>
  <c r="J30" i="3"/>
  <c r="J26" i="3"/>
  <c r="J18" i="3"/>
  <c r="J14" i="3"/>
  <c r="J63" i="3"/>
  <c r="J46" i="3"/>
  <c r="J25" i="3"/>
  <c r="J21" i="3"/>
  <c r="J17" i="3"/>
  <c r="W15" i="3"/>
  <c r="Z15" i="3" s="1"/>
  <c r="W30" i="3"/>
  <c r="Z30" i="3" s="1"/>
  <c r="W36" i="3"/>
  <c r="Z36" i="3" s="1"/>
  <c r="W40" i="3"/>
  <c r="Z40" i="3" s="1"/>
  <c r="W62" i="3"/>
  <c r="Z62" i="3" s="1"/>
  <c r="W16" i="3"/>
  <c r="Z16" i="3" s="1"/>
  <c r="W29" i="3"/>
  <c r="Z29" i="3" s="1"/>
  <c r="J29" i="3"/>
  <c r="J13" i="3"/>
  <c r="W32" i="3"/>
  <c r="Z32" i="3" s="1"/>
  <c r="W37" i="3"/>
  <c r="Z37" i="3" s="1"/>
  <c r="W41" i="3"/>
  <c r="Z41" i="3" s="1"/>
  <c r="W65" i="3"/>
  <c r="Z65" i="3" s="1"/>
  <c r="W10" i="3"/>
  <c r="Z10" i="3" s="1"/>
  <c r="J62" i="3"/>
  <c r="J41" i="3"/>
  <c r="J37" i="3"/>
  <c r="J24" i="3"/>
  <c r="J16" i="3"/>
  <c r="J8" i="3"/>
  <c r="W24" i="3"/>
  <c r="Z24" i="3" s="1"/>
  <c r="W34" i="3"/>
  <c r="Z34" i="3" s="1"/>
  <c r="W38" i="3"/>
  <c r="Z38" i="3" s="1"/>
  <c r="W42" i="3"/>
  <c r="Z42" i="3" s="1"/>
  <c r="W11" i="3"/>
  <c r="Z11" i="3" s="1"/>
  <c r="W22" i="3"/>
  <c r="Z22" i="3" s="1"/>
  <c r="J65" i="3"/>
  <c r="J40" i="3"/>
  <c r="J36" i="3"/>
  <c r="J32" i="3"/>
  <c r="J27" i="3"/>
  <c r="J19" i="3"/>
  <c r="J15" i="3"/>
  <c r="J11" i="3"/>
  <c r="J7" i="3"/>
  <c r="W26" i="3"/>
  <c r="Z26" i="3" s="1"/>
  <c r="W35" i="3"/>
  <c r="Z35" i="3" s="1"/>
  <c r="W39" i="3"/>
  <c r="Z39" i="3" s="1"/>
  <c r="W43" i="3"/>
  <c r="Z43" i="3" s="1"/>
  <c r="W14" i="3"/>
  <c r="Z14" i="3" s="1"/>
  <c r="W23" i="3"/>
  <c r="Z23" i="3" s="1"/>
  <c r="W33" i="3"/>
  <c r="Z33" i="3" s="1"/>
  <c r="J6" i="3"/>
  <c r="W13" i="3"/>
  <c r="Z13" i="3" s="1"/>
  <c r="W20" i="3"/>
  <c r="Z20" i="3" s="1"/>
  <c r="W63" i="3"/>
  <c r="Z63" i="3" s="1"/>
  <c r="W12" i="3"/>
  <c r="Z12" i="3" s="1"/>
  <c r="W64" i="3"/>
  <c r="Z64" i="3" s="1"/>
  <c r="W19" i="3"/>
  <c r="Z19" i="3" s="1"/>
  <c r="W6" i="3"/>
  <c r="Z6" i="3" s="1"/>
  <c r="W47" i="3"/>
  <c r="Z47" i="3" s="1"/>
  <c r="W25" i="3"/>
  <c r="Z25" i="3" s="1"/>
  <c r="W46" i="3"/>
  <c r="Z46" i="3" s="1"/>
  <c r="W28" i="3"/>
  <c r="Z28" i="3" s="1"/>
  <c r="W27" i="3"/>
  <c r="Z27" i="3" s="1"/>
  <c r="W21" i="3"/>
  <c r="Z21" i="3" s="1"/>
  <c r="Z8" i="3"/>
  <c r="W7" i="3"/>
  <c r="Z7" i="3" s="1"/>
  <c r="W17" i="3"/>
  <c r="Z17" i="3" s="1"/>
  <c r="W18" i="3"/>
  <c r="Z18" i="3" s="1"/>
  <c r="H69" i="3"/>
  <c r="I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J69" i="3" l="1"/>
  <c r="W69" i="3"/>
  <c r="Z69" i="3" s="1"/>
  <c r="O69" i="3"/>
  <c r="S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Q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  <c r="L69" i="3"/>
  <c r="N6" i="3"/>
  <c r="N69" i="3" s="1"/>
</calcChain>
</file>

<file path=xl/sharedStrings.xml><?xml version="1.0" encoding="utf-8"?>
<sst xmlns="http://schemas.openxmlformats.org/spreadsheetml/2006/main" count="1354" uniqueCount="242">
  <si>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</si>
  <si>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</si>
  <si>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</si>
  <si>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</si>
  <si>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</si>
  <si>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</si>
  <si>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</si>
  <si>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</si>
  <si>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</si>
  <si>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</si>
  <si>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</si>
  <si>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</si>
  <si>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</si>
  <si>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</si>
  <si>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</si>
  <si>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</si>
  <si>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</si>
  <si>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</si>
  <si>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</si>
  <si>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</si>
  <si>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</si>
  <si>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</si>
  <si>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</si>
  <si>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</si>
  <si>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</si>
  <si>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</si>
  <si>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</si>
  <si>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</si>
  <si>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</si>
  <si>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</si>
  <si>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</si>
  <si>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</si>
  <si>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</si>
  <si>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</si>
  <si>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</si>
  <si>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</si>
  <si>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</si>
  <si>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</si>
  <si>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</si>
  <si>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</si>
  <si>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</si>
  <si>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</si>
  <si>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</si>
  <si>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</si>
  <si>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</si>
  <si>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</si>
  <si>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</si>
  <si>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</si>
  <si>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</si>
  <si>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</si>
  <si>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</si>
  <si>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</si>
  <si>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</si>
  <si>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</si>
  <si>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</si>
  <si>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</si>
  <si>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</si>
  <si>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</si>
  <si>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</si>
  <si>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</si>
  <si>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</si>
  <si>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</si>
  <si>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</si>
  <si>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</si>
  <si>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</si>
  <si>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</si>
  <si>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</si>
  <si>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</si>
  <si>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</si>
  <si>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</si>
  <si>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</si>
  <si>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</si>
  <si>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</si>
  <si>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</si>
  <si>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</si>
  <si>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</si>
  <si>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</si>
  <si>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</si>
  <si>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</si>
  <si>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</si>
  <si>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</si>
  <si>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</si>
  <si>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</si>
  <si>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</si>
  <si>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</si>
  <si>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</si>
  <si>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</si>
  <si>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</si>
  <si>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</si>
  <si>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</si>
  <si>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</si>
  <si>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</si>
  <si>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</si>
  <si>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</si>
  <si>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</si>
  <si>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</si>
  <si>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</si>
  <si>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</si>
  <si>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</si>
  <si>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</si>
  <si>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</si>
  <si>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</si>
  <si>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</si>
  <si>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</si>
  <si>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</si>
  <si>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</si>
  <si>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</si>
  <si>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</si>
  <si>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</si>
  <si>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</si>
  <si>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</si>
  <si>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</si>
  <si>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</si>
  <si>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</si>
  <si>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</si>
  <si>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</si>
  <si>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</si>
  <si>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</si>
  <si>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</si>
  <si>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</si>
  <si>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</si>
  <si>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</si>
  <si>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</si>
  <si>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</si>
  <si>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</si>
  <si>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</si>
  <si>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</si>
  <si>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</si>
  <si>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</si>
  <si>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</si>
  <si>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</si>
  <si>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</si>
  <si>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</si>
  <si>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</si>
  <si>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</si>
  <si>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</si>
  <si>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</si>
  <si>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</si>
  <si>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</si>
  <si>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</si>
  <si>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</si>
  <si>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</si>
  <si>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</si>
  <si>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</si>
  <si>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</si>
  <si>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</si>
  <si>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</si>
  <si>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</si>
  <si>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</si>
  <si>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</si>
  <si>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</si>
  <si>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</si>
  <si>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</si>
  <si>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</si>
  <si>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</si>
  <si>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</si>
  <si>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</si>
  <si>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</si>
  <si>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</si>
  <si>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</si>
  <si>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</si>
  <si>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</si>
  <si>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</si>
  <si>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</si>
  <si>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</si>
  <si>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</si>
  <si>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</si>
  <si>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</si>
  <si>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</si>
  <si>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</si>
  <si>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</si>
  <si>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</si>
  <si>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</si>
  <si>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</si>
  <si>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</si>
  <si>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</si>
  <si>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</si>
  <si>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</si>
  <si>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</si>
  <si>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</si>
  <si>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</si>
  <si>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</si>
  <si>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</si>
  <si>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</si>
  <si>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</si>
  <si>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</si>
  <si>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</si>
  <si>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</si>
  <si>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</si>
  <si>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</si>
  <si>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</si>
  <si>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</si>
  <si>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</si>
  <si>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</si>
  <si>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</si>
  <si>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</si>
  <si>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</si>
  <si>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</si>
  <si>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</si>
  <si>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</si>
  <si>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</si>
  <si>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</si>
  <si>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</si>
  <si>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</si>
  <si>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</si>
  <si>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</si>
  <si>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</si>
  <si>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</si>
  <si>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</si>
  <si>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</si>
  <si>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</si>
  <si>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</si>
  <si>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</si>
  <si>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</si>
  <si>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</si>
  <si>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</si>
  <si>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</si>
  <si>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</si>
  <si>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</si>
  <si>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</si>
  <si>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</si>
  <si>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</si>
  <si>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</si>
  <si>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</si>
  <si>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</si>
  <si>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</si>
  <si>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</si>
  <si>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</si>
  <si>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</si>
  <si>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</si>
  <si>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</si>
  <si>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</si>
  <si>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</si>
  <si>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</si>
  <si>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</si>
  <si>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</si>
  <si>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Other</t>
  </si>
  <si>
    <t>Ragavedera</t>
  </si>
  <si>
    <t>yes</t>
  </si>
  <si>
    <t>Juny Escolaa dsouza</t>
  </si>
  <si>
    <t>Other amount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</si>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</sst>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5" fillId="0" borderId="4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128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21" activePane="bottomLeft" state="frozen"/>
      <selection pane="bottomLeft" activeCell="G31" sqref="G31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2" style="67" customWidth="1"/>
    <col min="6" max="6" width="7.140625" style="140" customWidth="1"/>
    <col min="7" max="7" width="11.42578125" style="54" customWidth="1"/>
    <col min="8" max="8" width="11.7109375" style="67"/>
    <col min="9" max="9" width="12.5703125" style="67" customWidth="1"/>
    <col min="10" max="10" width="12.140625" style="67" customWidth="1"/>
    <col min="11" max="11" width="11.42578125" style="67" customWidth="1"/>
    <col min="12" max="12" width="11" style="67" customWidth="1"/>
    <col min="13" max="13" width="7.7109375" style="67" customWidth="1"/>
    <col min="14" max="14" width="10" style="54" customWidth="1"/>
    <col min="15" max="15" width="10.85546875" style="54" hidden="1" customWidth="1"/>
    <col min="16" max="16" width="8.7109375" style="54" hidden="1" customWidth="1"/>
    <col min="17" max="17" width="10" style="54" hidden="1" customWidth="1"/>
    <col min="18" max="18" width="10.42578125" style="54" hidden="1" customWidth="1"/>
    <col min="19" max="22" width="10" style="54" hidden="1" customWidth="1"/>
    <col min="23" max="23" width="10.85546875" style="54" hidden="1" customWidth="1"/>
    <col min="24" max="24" width="2.85546875" style="54" hidden="1" customWidth="1"/>
    <col min="25" max="25" width="10" style="54" hidden="1" customWidth="1"/>
    <col min="26" max="26" width="11.42578125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70"/>
      <c r="G1" s="64"/>
      <c r="H1" s="64"/>
      <c r="J1" s="66"/>
      <c r="K1" s="66"/>
      <c r="L1" s="66"/>
      <c r="M1" s="66"/>
      <c r="N1" s="64"/>
      <c r="O1" s="64"/>
      <c r="P1" s="64"/>
      <c r="Q1" s="64"/>
      <c r="R1" s="64"/>
    </row>
    <row r="2" spans="1:26" x14ac:dyDescent="0.2">
      <c r="A2" s="64" t="s">
        <v>4</v>
      </c>
      <c r="B2" s="64"/>
      <c r="D2" s="65"/>
      <c r="E2" s="66" t="s">
        <v>47</v>
      </c>
      <c r="F2" s="70"/>
      <c r="G2" s="64"/>
      <c r="H2" s="64"/>
      <c r="I2" s="67" t="s">
        <v>131</v>
      </c>
      <c r="J2" s="68"/>
      <c r="K2" s="68"/>
      <c r="L2" s="68"/>
      <c r="M2" s="68"/>
      <c r="N2" s="64"/>
      <c r="O2" s="64"/>
      <c r="P2" s="64"/>
      <c r="Q2" s="64">
        <f>9*4</f>
        <v>36</v>
      </c>
      <c r="R2" s="64"/>
    </row>
    <row r="3" spans="1:26" x14ac:dyDescent="0.2">
      <c r="A3" s="64" t="s">
        <v>7</v>
      </c>
      <c r="B3" s="64"/>
      <c r="D3" s="65"/>
      <c r="E3" s="66"/>
      <c r="F3" s="70"/>
      <c r="G3" s="64"/>
      <c r="H3" s="64"/>
      <c r="J3" s="69"/>
      <c r="K3" s="69"/>
      <c r="L3" s="69"/>
      <c r="M3" s="69"/>
      <c r="N3" s="64"/>
      <c r="O3" s="64"/>
      <c r="P3" s="64"/>
      <c r="Q3" s="64"/>
      <c r="R3" s="64"/>
    </row>
    <row r="4" spans="1:26" x14ac:dyDescent="0.2">
      <c r="D4" s="65"/>
      <c r="E4" s="65"/>
      <c r="F4" s="138"/>
      <c r="H4" s="65"/>
      <c r="I4" s="65"/>
      <c r="J4" s="65"/>
      <c r="K4" s="65"/>
      <c r="L4" s="65"/>
      <c r="M4" s="65"/>
      <c r="N4" s="64"/>
      <c r="O4" s="64"/>
      <c r="P4" s="64"/>
      <c r="Q4" s="64"/>
      <c r="R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241</v>
      </c>
      <c r="G5" s="43" t="s">
        <v>13</v>
      </c>
      <c r="H5" s="43" t="s">
        <v>110</v>
      </c>
      <c r="I5" s="43" t="s">
        <v>115</v>
      </c>
      <c r="J5" s="43" t="s">
        <v>111</v>
      </c>
      <c r="K5" s="43" t="s">
        <v>124</v>
      </c>
      <c r="L5" s="43" t="s">
        <v>129</v>
      </c>
      <c r="M5" s="43" t="s">
        <v>236</v>
      </c>
      <c r="N5" s="43" t="s">
        <v>112</v>
      </c>
      <c r="O5" s="43" t="s">
        <v>113</v>
      </c>
      <c r="P5" s="43" t="s">
        <v>129</v>
      </c>
      <c r="Q5" s="43" t="s">
        <v>123</v>
      </c>
      <c r="R5" s="56" t="s">
        <v>125</v>
      </c>
      <c r="S5" s="43" t="s">
        <v>114</v>
      </c>
      <c r="T5" s="43" t="s">
        <v>126</v>
      </c>
      <c r="U5" s="43" t="s">
        <v>240</v>
      </c>
      <c r="V5" s="42" t="s">
        <v>112</v>
      </c>
      <c r="W5" s="42" t="s">
        <v>118</v>
      </c>
      <c r="Y5" s="42" t="s">
        <v>119</v>
      </c>
      <c r="Z5" s="42" t="s">
        <v>120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137" t="s">
        <v>143</v>
      </c>
      <c r="G6" s="73">
        <v>8300000</v>
      </c>
      <c r="H6" s="72">
        <f>G6*60/100</f>
        <v>4980000</v>
      </c>
      <c r="I6" s="72">
        <f>1225000+3487000+1096000</f>
        <v>5808000</v>
      </c>
      <c r="J6" s="72">
        <f>H6-I6</f>
        <v>-828000</v>
      </c>
      <c r="K6" s="72">
        <f>1225000+2322840+3255000-3285000+1195000+267160</f>
        <v>4980000</v>
      </c>
      <c r="L6" s="72">
        <f>920400+273760+920400-1286560</f>
        <v>828000</v>
      </c>
      <c r="M6" s="72"/>
      <c r="N6" s="72">
        <f>I6-K6-M6-L6</f>
        <v>0</v>
      </c>
      <c r="O6" s="72">
        <f t="shared" ref="O6:O67" si="0">G6*40/100</f>
        <v>3320000</v>
      </c>
      <c r="P6" s="72">
        <f>920400+273760+920400-1286560</f>
        <v>828000</v>
      </c>
      <c r="Q6" s="72">
        <f>996000+725310+570690+620048+200000+22239</f>
        <v>3134287</v>
      </c>
      <c r="R6" s="72">
        <v>0</v>
      </c>
      <c r="S6" s="72">
        <f>780000+232000+780000+548000+780000+200000</f>
        <v>3320000</v>
      </c>
      <c r="T6" s="72">
        <f>S6*18/100</f>
        <v>597600</v>
      </c>
      <c r="U6" s="72">
        <f>22239+12500+390+9558</f>
        <v>44687</v>
      </c>
      <c r="V6" s="53">
        <f>O6-P6-Q6+T6+U6</f>
        <v>0</v>
      </c>
      <c r="W6" s="53">
        <f t="shared" ref="W6:W30" si="1">I6+Q6</f>
        <v>8942287</v>
      </c>
      <c r="X6" s="53" t="s">
        <v>116</v>
      </c>
      <c r="Y6" s="74">
        <v>5808000</v>
      </c>
      <c r="Z6" s="75">
        <f>W6-Y6</f>
        <v>3134287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137" t="s">
        <v>143</v>
      </c>
      <c r="G7" s="73">
        <v>8300000</v>
      </c>
      <c r="H7" s="72">
        <f t="shared" ref="H7:H67" si="2">G7*60/100</f>
        <v>4980000</v>
      </c>
      <c r="I7" s="72">
        <f>1225000+3587000+996000+996000+597600</f>
        <v>7401600</v>
      </c>
      <c r="J7" s="72">
        <f t="shared" ref="J7:J67" si="3">H7-I7</f>
        <v>-2421600</v>
      </c>
      <c r="K7" s="72">
        <f>1225000+3255000+2304840-3285000-909840+1195000+1195000</f>
        <v>4980000</v>
      </c>
      <c r="L7" s="72">
        <f>920400+391760+920400+920400-731360</f>
        <v>2421600</v>
      </c>
      <c r="M7" s="72"/>
      <c r="N7" s="72">
        <f t="shared" ref="N7:N37" si="4">I7-K7-M7-L7</f>
        <v>0</v>
      </c>
      <c r="O7" s="72">
        <f t="shared" si="0"/>
        <v>3320000</v>
      </c>
      <c r="P7" s="72">
        <f>920400+391760+920400+920400-731360</f>
        <v>2421600</v>
      </c>
      <c r="Q7" s="72">
        <f>-9558+1200000+127448+50854+18334+172666+9154</f>
        <v>1568898</v>
      </c>
      <c r="R7" s="72">
        <v>0</v>
      </c>
      <c r="S7" s="72">
        <f>780000+332000+780000+780000+448000+200000</f>
        <v>3320000</v>
      </c>
      <c r="T7" s="72">
        <f t="shared" ref="T7:T68" si="5">S7*18/100</f>
        <v>597600</v>
      </c>
      <c r="U7" s="72">
        <f>12500+390+60008</f>
        <v>72898</v>
      </c>
      <c r="V7" s="53">
        <f>O7-P7-Q7+T7+U7</f>
        <v>0</v>
      </c>
      <c r="W7" s="53">
        <f t="shared" si="1"/>
        <v>8970498</v>
      </c>
      <c r="X7" s="53" t="s">
        <v>116</v>
      </c>
      <c r="Y7" s="74">
        <v>7401600</v>
      </c>
      <c r="Z7" s="75">
        <f t="shared" ref="Z7:Z67" si="6">W7-Y7</f>
        <v>1568898</v>
      </c>
    </row>
    <row r="8" spans="1:26" ht="12.95" customHeight="1" x14ac:dyDescent="0.2">
      <c r="A8" s="70">
        <f>A7+1</f>
        <v>3</v>
      </c>
      <c r="B8" s="71">
        <v>106</v>
      </c>
      <c r="C8" s="64">
        <v>2040</v>
      </c>
      <c r="D8" s="72" t="s">
        <v>109</v>
      </c>
      <c r="E8" s="71" t="s">
        <v>50</v>
      </c>
      <c r="F8" s="137" t="s">
        <v>143</v>
      </c>
      <c r="G8" s="73">
        <v>8400000</v>
      </c>
      <c r="H8" s="72">
        <f t="shared" si="2"/>
        <v>5040000</v>
      </c>
      <c r="I8" s="72">
        <f>1225000+3651000+1008000</f>
        <v>5884000</v>
      </c>
      <c r="J8" s="72">
        <f t="shared" si="3"/>
        <v>-844000</v>
      </c>
      <c r="K8" s="72">
        <f>225000+1000000+3958800-1225000-15000+1210000-113800</f>
        <v>5040000</v>
      </c>
      <c r="L8" s="72">
        <f>932200+932200-1020400</f>
        <v>844000</v>
      </c>
      <c r="M8" s="72"/>
      <c r="N8" s="72">
        <f t="shared" si="4"/>
        <v>0</v>
      </c>
      <c r="O8" s="72">
        <f t="shared" si="0"/>
        <v>3360000</v>
      </c>
      <c r="P8" s="72">
        <f>932200+932200-1020400</f>
        <v>844000</v>
      </c>
      <c r="Q8" s="72">
        <f>1008000+614748+1308000+234962+5577</f>
        <v>3171287</v>
      </c>
      <c r="R8" s="72">
        <v>0</v>
      </c>
      <c r="S8" s="72">
        <f>790000+790000+790000+790000+200000</f>
        <v>3360000</v>
      </c>
      <c r="T8" s="72">
        <f t="shared" si="5"/>
        <v>604800</v>
      </c>
      <c r="U8" s="72">
        <f>12500+390+9558+28039</f>
        <v>50487</v>
      </c>
      <c r="V8" s="53">
        <f t="shared" ref="V8:V67" si="7">O8-P8-Q8+T8+U8</f>
        <v>0</v>
      </c>
      <c r="W8" s="53">
        <f t="shared" si="1"/>
        <v>9055287</v>
      </c>
      <c r="X8" s="53" t="s">
        <v>117</v>
      </c>
      <c r="Y8" s="74">
        <v>5884000</v>
      </c>
      <c r="Z8" s="75">
        <f t="shared" si="6"/>
        <v>3171287</v>
      </c>
    </row>
    <row r="9" spans="1:26" ht="12.95" customHeight="1" x14ac:dyDescent="0.2">
      <c r="A9" s="70">
        <f t="shared" ref="A9:A67" si="8">A8+1</f>
        <v>4</v>
      </c>
      <c r="B9" s="71">
        <v>108</v>
      </c>
      <c r="C9" s="64">
        <v>2040</v>
      </c>
      <c r="D9" s="72" t="s">
        <v>109</v>
      </c>
      <c r="E9" s="71" t="s">
        <v>51</v>
      </c>
      <c r="F9" s="137"/>
      <c r="G9" s="73">
        <v>9100000</v>
      </c>
      <c r="H9" s="72">
        <f t="shared" si="2"/>
        <v>5460000</v>
      </c>
      <c r="I9" s="72">
        <f>1225000+1500000+1100000+500000+1135000</f>
        <v>5460000</v>
      </c>
      <c r="J9" s="72">
        <f t="shared" si="3"/>
        <v>0</v>
      </c>
      <c r="K9" s="72">
        <f>1225000+2630000+1605000</f>
        <v>5460000</v>
      </c>
      <c r="L9" s="72">
        <f>1014800+1014800</f>
        <v>2029600</v>
      </c>
      <c r="M9" s="72"/>
      <c r="N9" s="72">
        <f t="shared" si="4"/>
        <v>-2029600</v>
      </c>
      <c r="O9" s="72">
        <f t="shared" si="0"/>
        <v>3640000</v>
      </c>
      <c r="P9" s="72"/>
      <c r="Q9" s="72">
        <f>465000+830000+3000000</f>
        <v>4295000</v>
      </c>
      <c r="R9" s="72">
        <f t="shared" ref="R9:R67" si="9">O9-Q9-P9</f>
        <v>-655000</v>
      </c>
      <c r="S9" s="72">
        <f>860000+860000+860000</f>
        <v>2580000</v>
      </c>
      <c r="T9" s="72">
        <f t="shared" si="5"/>
        <v>464400</v>
      </c>
      <c r="U9" s="72">
        <f>590+9558</f>
        <v>10148</v>
      </c>
      <c r="V9" s="53">
        <f>O9-Q9+T9+U9</f>
        <v>-180452</v>
      </c>
      <c r="W9" s="53">
        <f t="shared" si="1"/>
        <v>9755000</v>
      </c>
      <c r="X9" s="53" t="s">
        <v>116</v>
      </c>
      <c r="Y9" s="74">
        <v>3825000</v>
      </c>
      <c r="Z9" s="75">
        <f t="shared" si="6"/>
        <v>5930000</v>
      </c>
    </row>
    <row r="10" spans="1:26" ht="12.95" customHeight="1" x14ac:dyDescent="0.2">
      <c r="A10" s="70">
        <f t="shared" si="8"/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137"/>
      <c r="G10" s="73">
        <v>8200000</v>
      </c>
      <c r="H10" s="72">
        <f t="shared" si="2"/>
        <v>4920000</v>
      </c>
      <c r="I10" s="72">
        <f>1225000+3568000-45000+984000+984000</f>
        <v>6716000</v>
      </c>
      <c r="J10" s="72">
        <f t="shared" si="3"/>
        <v>-1796000</v>
      </c>
      <c r="K10" s="72">
        <f>1225000+3884400-45000+1180000-99400-1225000</f>
        <v>4920000</v>
      </c>
      <c r="L10" s="72">
        <f>908600+908600</f>
        <v>1817200</v>
      </c>
      <c r="M10" s="72"/>
      <c r="N10" s="72">
        <f t="shared" si="4"/>
        <v>-21200</v>
      </c>
      <c r="O10" s="72">
        <f t="shared" si="0"/>
        <v>3280000</v>
      </c>
      <c r="P10" s="72">
        <f>908600+908600</f>
        <v>1817200</v>
      </c>
      <c r="Q10" s="72">
        <f>295000+688800+1000000+1000000+74400</f>
        <v>3058200</v>
      </c>
      <c r="R10" s="72">
        <f t="shared" si="9"/>
        <v>-1595400</v>
      </c>
      <c r="S10" s="72">
        <f>770000+770000+770000</f>
        <v>2310000</v>
      </c>
      <c r="T10" s="72">
        <f t="shared" si="5"/>
        <v>415800</v>
      </c>
      <c r="U10" s="72"/>
      <c r="V10" s="53">
        <f>O10-Q10+T10+U10</f>
        <v>637600</v>
      </c>
      <c r="W10" s="53">
        <f t="shared" si="1"/>
        <v>9774200</v>
      </c>
      <c r="X10" s="53" t="s">
        <v>116</v>
      </c>
      <c r="Y10" s="74">
        <v>5732000</v>
      </c>
      <c r="Z10" s="75">
        <f t="shared" si="6"/>
        <v>4042200</v>
      </c>
    </row>
    <row r="11" spans="1:26" ht="12.95" customHeight="1" x14ac:dyDescent="0.2">
      <c r="A11" s="70">
        <f t="shared" si="8"/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137" t="s">
        <v>143</v>
      </c>
      <c r="G11" s="73">
        <v>8300000</v>
      </c>
      <c r="H11" s="72">
        <f t="shared" si="2"/>
        <v>4980000</v>
      </c>
      <c r="I11" s="72">
        <f>2965000+2900000</f>
        <v>5865000</v>
      </c>
      <c r="J11" s="72">
        <f t="shared" si="3"/>
        <v>-885000</v>
      </c>
      <c r="K11" s="72">
        <f>225000+1000000+960000+849600-990000+1195000+1740400</f>
        <v>4980000</v>
      </c>
      <c r="L11" s="72">
        <f>920400+920400-955800</f>
        <v>885000</v>
      </c>
      <c r="M11" s="72"/>
      <c r="N11" s="72">
        <f t="shared" si="4"/>
        <v>0</v>
      </c>
      <c r="O11" s="72">
        <f t="shared" si="0"/>
        <v>3320000</v>
      </c>
      <c r="P11" s="72">
        <f>920400+920400-955800</f>
        <v>885000</v>
      </c>
      <c r="Q11" s="72">
        <f>600000+450000+450000+175000+260000+400000+370000+100000+97995+100000+100829+595</f>
        <v>3104419</v>
      </c>
      <c r="R11" s="72">
        <f t="shared" si="9"/>
        <v>-669419</v>
      </c>
      <c r="S11" s="72">
        <f>2340000+780000+200000+41340</f>
        <v>3361340</v>
      </c>
      <c r="T11" s="72">
        <f t="shared" si="5"/>
        <v>605041.19999999995</v>
      </c>
      <c r="U11" s="72">
        <f>9558+590+12500+390</f>
        <v>23038</v>
      </c>
      <c r="V11" s="53">
        <f t="shared" si="7"/>
        <v>-41339.800000000047</v>
      </c>
      <c r="W11" s="53">
        <f t="shared" si="1"/>
        <v>8969419</v>
      </c>
      <c r="X11" s="53" t="s">
        <v>116</v>
      </c>
      <c r="Y11" s="74">
        <v>5865000</v>
      </c>
      <c r="Z11" s="75">
        <f t="shared" si="6"/>
        <v>3104419</v>
      </c>
    </row>
    <row r="12" spans="1:26" ht="12.95" customHeight="1" x14ac:dyDescent="0.2">
      <c r="A12" s="70">
        <f t="shared" si="8"/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137" t="s">
        <v>143</v>
      </c>
      <c r="G12" s="73">
        <v>8500000</v>
      </c>
      <c r="H12" s="72">
        <f t="shared" si="2"/>
        <v>5100000</v>
      </c>
      <c r="I12" s="72">
        <f>1225000+6056249-525000+900000+573500</f>
        <v>8229749</v>
      </c>
      <c r="J12" s="72">
        <f>H12-I12</f>
        <v>-3129749</v>
      </c>
      <c r="K12" s="72">
        <f>225000+700000+300000+1225000+1225000+1425000</f>
        <v>5100000</v>
      </c>
      <c r="L12" s="72">
        <f>2832000+147749</f>
        <v>2979749</v>
      </c>
      <c r="M12" s="72">
        <v>150000</v>
      </c>
      <c r="N12" s="72">
        <f t="shared" si="4"/>
        <v>0</v>
      </c>
      <c r="O12" s="72">
        <f t="shared" si="0"/>
        <v>3400000</v>
      </c>
      <c r="P12" s="72">
        <f>2832000-147749</f>
        <v>2684251</v>
      </c>
      <c r="Q12" s="72">
        <f>367217+150000+563686</f>
        <v>1080903</v>
      </c>
      <c r="R12" s="72">
        <f t="shared" si="9"/>
        <v>-365154</v>
      </c>
      <c r="S12" s="72">
        <f>800000+800000+800000+800000</f>
        <v>3200000</v>
      </c>
      <c r="T12" s="72">
        <f t="shared" si="5"/>
        <v>576000</v>
      </c>
      <c r="U12" s="72">
        <v>9558</v>
      </c>
      <c r="V12" s="53">
        <f t="shared" si="7"/>
        <v>220404</v>
      </c>
      <c r="W12" s="53">
        <f t="shared" si="1"/>
        <v>9310652</v>
      </c>
      <c r="X12" s="53" t="s">
        <v>116</v>
      </c>
      <c r="Y12" s="74">
        <v>7281249</v>
      </c>
      <c r="Z12" s="75">
        <f t="shared" si="6"/>
        <v>2029403</v>
      </c>
    </row>
    <row r="13" spans="1:26" ht="12.95" customHeight="1" x14ac:dyDescent="0.2">
      <c r="A13" s="70">
        <f t="shared" si="8"/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137" t="s">
        <v>143</v>
      </c>
      <c r="G13" s="73">
        <v>8300000</v>
      </c>
      <c r="H13" s="72">
        <f t="shared" si="2"/>
        <v>4980000</v>
      </c>
      <c r="I13" s="72">
        <f>1225000+3587000+2589600</f>
        <v>7401600</v>
      </c>
      <c r="J13" s="72">
        <f t="shared" si="3"/>
        <v>-2421600</v>
      </c>
      <c r="K13" s="72">
        <f>1225000+3255000+2304840-3285000+1195000+285160</f>
        <v>4980000</v>
      </c>
      <c r="L13" s="72">
        <f>920400+391760+920400+920400+985300-1716660</f>
        <v>2421600</v>
      </c>
      <c r="M13" s="72"/>
      <c r="N13" s="72">
        <f t="shared" si="4"/>
        <v>0</v>
      </c>
      <c r="O13" s="72">
        <f t="shared" si="0"/>
        <v>3320000</v>
      </c>
      <c r="P13" s="72">
        <v>3152960</v>
      </c>
      <c r="Q13" s="72"/>
      <c r="R13" s="72">
        <f t="shared" si="9"/>
        <v>167040</v>
      </c>
      <c r="S13" s="72">
        <f>780000+332000+780000+780000</f>
        <v>2672000</v>
      </c>
      <c r="T13" s="72">
        <f t="shared" si="5"/>
        <v>480960</v>
      </c>
      <c r="U13" s="72"/>
      <c r="V13" s="53">
        <f t="shared" si="7"/>
        <v>648000</v>
      </c>
      <c r="W13" s="53">
        <f t="shared" si="1"/>
        <v>7401600</v>
      </c>
      <c r="X13" s="53" t="s">
        <v>116</v>
      </c>
      <c r="Y13" s="74">
        <v>7401600</v>
      </c>
      <c r="Z13" s="75">
        <f t="shared" si="6"/>
        <v>0</v>
      </c>
    </row>
    <row r="14" spans="1:26" ht="12.95" customHeight="1" x14ac:dyDescent="0.2">
      <c r="A14" s="70">
        <f t="shared" si="8"/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137"/>
      <c r="G14" s="73">
        <v>8300000</v>
      </c>
      <c r="H14" s="72">
        <f t="shared" si="2"/>
        <v>4980000</v>
      </c>
      <c r="I14" s="72">
        <f>225000+200000+300000+500000+3587000+996000</f>
        <v>5808000</v>
      </c>
      <c r="J14" s="72">
        <f t="shared" si="3"/>
        <v>-828000</v>
      </c>
      <c r="K14" s="72">
        <f>225000+1000000+2696600-30000-106600+1195000</f>
        <v>4980000</v>
      </c>
      <c r="L14" s="72">
        <v>1840800</v>
      </c>
      <c r="M14" s="72">
        <f>2360+9558+2360</f>
        <v>14278</v>
      </c>
      <c r="N14" s="72">
        <f t="shared" si="4"/>
        <v>-1027078</v>
      </c>
      <c r="O14" s="72">
        <f t="shared" si="0"/>
        <v>3320000</v>
      </c>
      <c r="P14" s="72">
        <v>1840800</v>
      </c>
      <c r="Q14" s="72">
        <f>996000+1363104+300000</f>
        <v>2659104</v>
      </c>
      <c r="R14" s="72">
        <f t="shared" si="9"/>
        <v>-1179904</v>
      </c>
      <c r="S14" s="72">
        <f>780000+780000+780000</f>
        <v>2340000</v>
      </c>
      <c r="T14" s="72">
        <f t="shared" si="5"/>
        <v>421200</v>
      </c>
      <c r="U14" s="72"/>
      <c r="V14" s="53">
        <f t="shared" si="7"/>
        <v>-758704</v>
      </c>
      <c r="W14" s="53">
        <f t="shared" si="1"/>
        <v>8467104</v>
      </c>
      <c r="X14" s="53" t="s">
        <v>116</v>
      </c>
      <c r="Y14" s="74">
        <v>5808000</v>
      </c>
      <c r="Z14" s="75">
        <f t="shared" si="6"/>
        <v>2659104</v>
      </c>
    </row>
    <row r="15" spans="1:26" ht="12.95" customHeight="1" x14ac:dyDescent="0.2">
      <c r="A15" s="70">
        <f t="shared" si="8"/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137"/>
      <c r="G15" s="73">
        <v>8300000</v>
      </c>
      <c r="H15" s="72">
        <f t="shared" si="2"/>
        <v>4980000</v>
      </c>
      <c r="I15" s="72">
        <f>275000+1000000+3587000</f>
        <v>4862000</v>
      </c>
      <c r="J15" s="72">
        <f t="shared" si="3"/>
        <v>118000</v>
      </c>
      <c r="K15" s="72">
        <f>1000000+225000+1275000-1225000+1195000+2510000</f>
        <v>4980000</v>
      </c>
      <c r="L15" s="72">
        <f>920400</f>
        <v>920400</v>
      </c>
      <c r="M15" s="72"/>
      <c r="N15" s="72">
        <f t="shared" si="4"/>
        <v>-1038400</v>
      </c>
      <c r="O15" s="72">
        <f t="shared" si="0"/>
        <v>3320000</v>
      </c>
      <c r="P15" s="72">
        <f>920400</f>
        <v>920400</v>
      </c>
      <c r="Q15" s="72">
        <f>996000+996000</f>
        <v>1992000</v>
      </c>
      <c r="R15" s="72">
        <f t="shared" si="9"/>
        <v>407600</v>
      </c>
      <c r="S15" s="72">
        <f>780000+1560000</f>
        <v>2340000</v>
      </c>
      <c r="T15" s="72">
        <f t="shared" si="5"/>
        <v>421200</v>
      </c>
      <c r="U15" s="72"/>
      <c r="V15" s="53">
        <f t="shared" si="7"/>
        <v>828800</v>
      </c>
      <c r="W15" s="53">
        <f t="shared" si="1"/>
        <v>6854000</v>
      </c>
      <c r="X15" s="53" t="s">
        <v>116</v>
      </c>
      <c r="Y15" s="74">
        <v>4862000</v>
      </c>
      <c r="Z15" s="75">
        <f t="shared" si="6"/>
        <v>1992000</v>
      </c>
    </row>
    <row r="16" spans="1:26" ht="12.95" customHeight="1" x14ac:dyDescent="0.2">
      <c r="A16" s="70">
        <f t="shared" si="8"/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137"/>
      <c r="G16" s="73">
        <v>8200000</v>
      </c>
      <c r="H16" s="72">
        <f t="shared" si="2"/>
        <v>4920000</v>
      </c>
      <c r="I16" s="72">
        <f>1225000+3523000+984000</f>
        <v>5732000</v>
      </c>
      <c r="J16" s="72">
        <f t="shared" si="3"/>
        <v>-812000</v>
      </c>
      <c r="K16" s="72">
        <f>1225000+2659400-45000+1180000+1135000-1234400</f>
        <v>4920000</v>
      </c>
      <c r="L16" s="72">
        <f>908600+908600</f>
        <v>1817200</v>
      </c>
      <c r="M16" s="72"/>
      <c r="N16" s="72">
        <f t="shared" si="4"/>
        <v>-1005200</v>
      </c>
      <c r="O16" s="72">
        <f t="shared" si="0"/>
        <v>3280000</v>
      </c>
      <c r="P16" s="72">
        <f>908600+908600</f>
        <v>1817200</v>
      </c>
      <c r="Q16" s="72">
        <f>984000+1484000</f>
        <v>2468000</v>
      </c>
      <c r="R16" s="72">
        <f t="shared" si="9"/>
        <v>-1005200</v>
      </c>
      <c r="S16" s="72">
        <f>770000+770000+770000</f>
        <v>2310000</v>
      </c>
      <c r="T16" s="72">
        <f t="shared" si="5"/>
        <v>415800</v>
      </c>
      <c r="U16" s="72"/>
      <c r="V16" s="53">
        <f t="shared" si="7"/>
        <v>-589400</v>
      </c>
      <c r="W16" s="53">
        <f t="shared" si="1"/>
        <v>8200000</v>
      </c>
      <c r="X16" s="53" t="s">
        <v>116</v>
      </c>
      <c r="Y16" s="74">
        <v>5732000</v>
      </c>
      <c r="Z16" s="75">
        <f t="shared" si="6"/>
        <v>2468000</v>
      </c>
    </row>
    <row r="17" spans="1:26" ht="12.95" customHeight="1" x14ac:dyDescent="0.2">
      <c r="A17" s="70">
        <f t="shared" si="8"/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137"/>
      <c r="G17" s="73">
        <v>8500000</v>
      </c>
      <c r="H17" s="72">
        <f t="shared" si="2"/>
        <v>5100000</v>
      </c>
      <c r="I17" s="72">
        <f>25000+500000+200000+1000000+3215000+275000+1020000+275000</f>
        <v>6510000</v>
      </c>
      <c r="J17" s="72">
        <f t="shared" si="3"/>
        <v>-1410000</v>
      </c>
      <c r="K17" s="72">
        <f>225000+1000000+500000+1987000-500000+1225000+663000</f>
        <v>5100000</v>
      </c>
      <c r="L17" s="72">
        <f>944000+944000+944000+423023</f>
        <v>3255023</v>
      </c>
      <c r="M17" s="72"/>
      <c r="N17" s="72">
        <f t="shared" si="4"/>
        <v>-1845023</v>
      </c>
      <c r="O17" s="72">
        <f t="shared" si="0"/>
        <v>3400000</v>
      </c>
      <c r="P17" s="72">
        <f>944000+944000+944000</f>
        <v>2832000</v>
      </c>
      <c r="Q17" s="72">
        <f>1020000+400000+1320000</f>
        <v>2740000</v>
      </c>
      <c r="R17" s="72">
        <f t="shared" si="9"/>
        <v>-2172000</v>
      </c>
      <c r="S17" s="72">
        <f>1600000+800000</f>
        <v>2400000</v>
      </c>
      <c r="T17" s="72">
        <f t="shared" si="5"/>
        <v>432000</v>
      </c>
      <c r="U17" s="72">
        <v>9558</v>
      </c>
      <c r="V17" s="53">
        <f t="shared" si="7"/>
        <v>-1730442</v>
      </c>
      <c r="W17" s="53">
        <f t="shared" si="1"/>
        <v>9250000</v>
      </c>
      <c r="X17" s="53" t="s">
        <v>116</v>
      </c>
      <c r="Y17" s="74">
        <v>6235000</v>
      </c>
      <c r="Z17" s="75">
        <f t="shared" si="6"/>
        <v>3015000</v>
      </c>
    </row>
    <row r="18" spans="1:26" ht="12.95" customHeight="1" x14ac:dyDescent="0.2">
      <c r="A18" s="70">
        <f t="shared" si="8"/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137"/>
      <c r="G18" s="73">
        <v>8200000</v>
      </c>
      <c r="H18" s="72">
        <f t="shared" si="2"/>
        <v>4920000</v>
      </c>
      <c r="I18" s="72">
        <f>225000+5630000+600000+300000</f>
        <v>6755000</v>
      </c>
      <c r="J18" s="72">
        <f t="shared" si="3"/>
        <v>-1835000</v>
      </c>
      <c r="K18" s="72">
        <f>225000+1000000+3195000+742800+1180000+637200-2060000</f>
        <v>4920000</v>
      </c>
      <c r="L18" s="72">
        <f>908600+908600</f>
        <v>1817200</v>
      </c>
      <c r="M18" s="72"/>
      <c r="N18" s="72">
        <f t="shared" si="4"/>
        <v>17800</v>
      </c>
      <c r="O18" s="72">
        <f t="shared" si="0"/>
        <v>3280000</v>
      </c>
      <c r="P18" s="72">
        <f>908600</f>
        <v>908600</v>
      </c>
      <c r="Q18" s="72">
        <f>1400000+650000</f>
        <v>2050000</v>
      </c>
      <c r="R18" s="72">
        <f t="shared" si="9"/>
        <v>321400</v>
      </c>
      <c r="S18" s="72">
        <f>770000+770000</f>
        <v>1540000</v>
      </c>
      <c r="T18" s="72">
        <f t="shared" si="5"/>
        <v>277200</v>
      </c>
      <c r="U18" s="72"/>
      <c r="V18" s="53">
        <f t="shared" si="7"/>
        <v>598600</v>
      </c>
      <c r="W18" s="53">
        <f t="shared" si="1"/>
        <v>8805000</v>
      </c>
      <c r="X18" s="53" t="s">
        <v>116</v>
      </c>
      <c r="Y18" s="74">
        <v>6755000</v>
      </c>
      <c r="Z18" s="75">
        <f t="shared" si="6"/>
        <v>2050000</v>
      </c>
    </row>
    <row r="19" spans="1:26" ht="12.95" customHeight="1" x14ac:dyDescent="0.2">
      <c r="A19" s="70">
        <f t="shared" si="8"/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137"/>
      <c r="G19" s="73">
        <v>9810000</v>
      </c>
      <c r="H19" s="72">
        <f t="shared" si="2"/>
        <v>5886000</v>
      </c>
      <c r="I19" s="72">
        <f>200000+1000000+4686000+3924000</f>
        <v>9810000</v>
      </c>
      <c r="J19" s="72">
        <f t="shared" si="3"/>
        <v>-3924000</v>
      </c>
      <c r="K19" s="72">
        <f>1421500+1421500+1421500+1621500</f>
        <v>5886000</v>
      </c>
      <c r="L19" s="72">
        <f>1098580+1098580+1098580+628260</f>
        <v>3924000</v>
      </c>
      <c r="M19" s="72"/>
      <c r="N19" s="72">
        <f t="shared" si="4"/>
        <v>0</v>
      </c>
      <c r="O19" s="72">
        <f t="shared" si="0"/>
        <v>3924000</v>
      </c>
      <c r="P19" s="72">
        <f>1098580+1098580+1098580+22953+25000</f>
        <v>3343693</v>
      </c>
      <c r="Q19" s="72">
        <f>706320+628260</f>
        <v>1334580</v>
      </c>
      <c r="R19" s="72">
        <f t="shared" si="9"/>
        <v>-754273</v>
      </c>
      <c r="S19" s="72">
        <f>3724000+200000+21614</f>
        <v>3945614</v>
      </c>
      <c r="T19" s="72">
        <f t="shared" si="5"/>
        <v>710210.52</v>
      </c>
      <c r="U19" s="72">
        <f>12500+390+9558</f>
        <v>22448</v>
      </c>
      <c r="V19" s="53">
        <f t="shared" si="7"/>
        <v>-21614.479999999981</v>
      </c>
      <c r="W19" s="53">
        <f t="shared" si="1"/>
        <v>11144580</v>
      </c>
      <c r="X19" s="53" t="s">
        <v>116</v>
      </c>
      <c r="Y19" s="74">
        <v>9810000</v>
      </c>
      <c r="Z19" s="75">
        <f t="shared" si="6"/>
        <v>1334580</v>
      </c>
    </row>
    <row r="20" spans="1:26" ht="12.95" customHeight="1" x14ac:dyDescent="0.2">
      <c r="A20" s="70">
        <f t="shared" si="8"/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137"/>
      <c r="G20" s="73">
        <v>10120000</v>
      </c>
      <c r="H20" s="72">
        <f t="shared" si="2"/>
        <v>6072000</v>
      </c>
      <c r="I20" s="72">
        <f>10125000</f>
        <v>10125000</v>
      </c>
      <c r="J20" s="72">
        <f t="shared" si="3"/>
        <v>-4053000</v>
      </c>
      <c r="K20" s="72">
        <f>1468000+1468000+1468000+1668000</f>
        <v>6072000</v>
      </c>
      <c r="L20" s="72">
        <f>1135160+1135160+1135160+647520</f>
        <v>4053000</v>
      </c>
      <c r="M20" s="72"/>
      <c r="N20" s="72">
        <f t="shared" si="4"/>
        <v>0</v>
      </c>
      <c r="O20" s="72">
        <f t="shared" si="0"/>
        <v>4048000</v>
      </c>
      <c r="P20" s="72">
        <f>1135160+1135160+1135160+647520</f>
        <v>4053000</v>
      </c>
      <c r="Q20" s="72">
        <f>746088+60857</f>
        <v>806945</v>
      </c>
      <c r="R20" s="72">
        <f t="shared" si="9"/>
        <v>-811945</v>
      </c>
      <c r="S20" s="72">
        <f>3848000+200000+51574</f>
        <v>4099574</v>
      </c>
      <c r="T20" s="72">
        <f t="shared" si="5"/>
        <v>737923.32</v>
      </c>
      <c r="U20" s="72">
        <f>12500+390+9558</f>
        <v>22448</v>
      </c>
      <c r="V20" s="53">
        <f t="shared" si="7"/>
        <v>-51573.680000000051</v>
      </c>
      <c r="W20" s="53">
        <f t="shared" si="1"/>
        <v>10931945</v>
      </c>
      <c r="X20" s="53" t="s">
        <v>116</v>
      </c>
      <c r="Y20" s="74">
        <v>10125000</v>
      </c>
      <c r="Z20" s="75">
        <f t="shared" si="6"/>
        <v>806945</v>
      </c>
    </row>
    <row r="21" spans="1:26" ht="12.95" customHeight="1" x14ac:dyDescent="0.2">
      <c r="A21" s="70">
        <f t="shared" si="8"/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137"/>
      <c r="G21" s="73">
        <v>8300000</v>
      </c>
      <c r="H21" s="72">
        <f t="shared" si="2"/>
        <v>4980000</v>
      </c>
      <c r="I21" s="72">
        <f>225000+300000+4287000+446000+550000+100+497500+100000</f>
        <v>6405600</v>
      </c>
      <c r="J21" s="72">
        <f t="shared" si="3"/>
        <v>-1425600</v>
      </c>
      <c r="K21" s="72">
        <f>225000+1000000+3255000+1326800-2090000-670000+1933200</f>
        <v>4980000</v>
      </c>
      <c r="L21" s="72">
        <f>920400+844800-339600</f>
        <v>1425600</v>
      </c>
      <c r="M21" s="72"/>
      <c r="N21" s="72">
        <f t="shared" si="4"/>
        <v>0</v>
      </c>
      <c r="O21" s="72">
        <f t="shared" si="0"/>
        <v>3320000</v>
      </c>
      <c r="P21" s="72">
        <f>920400+844800</f>
        <v>1765200</v>
      </c>
      <c r="Q21" s="72">
        <f>996000</f>
        <v>996000</v>
      </c>
      <c r="R21" s="72">
        <f t="shared" si="9"/>
        <v>558800</v>
      </c>
      <c r="S21" s="72">
        <v>2340000</v>
      </c>
      <c r="T21" s="72">
        <f t="shared" si="5"/>
        <v>421200</v>
      </c>
      <c r="U21" s="72"/>
      <c r="V21" s="53">
        <f t="shared" si="7"/>
        <v>980000</v>
      </c>
      <c r="W21" s="53">
        <f t="shared" si="1"/>
        <v>7401600</v>
      </c>
      <c r="X21" s="53" t="s">
        <v>117</v>
      </c>
      <c r="Y21" s="74">
        <v>7401600</v>
      </c>
      <c r="Z21" s="75">
        <f t="shared" si="6"/>
        <v>0</v>
      </c>
    </row>
    <row r="22" spans="1:26" ht="12.95" customHeight="1" x14ac:dyDescent="0.2">
      <c r="A22" s="70">
        <f t="shared" si="8"/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137"/>
      <c r="G22" s="73">
        <v>8300000</v>
      </c>
      <c r="H22" s="72">
        <f t="shared" si="2"/>
        <v>4980000</v>
      </c>
      <c r="I22" s="72">
        <f>1225000+3575000+500000+508000</f>
        <v>5808000</v>
      </c>
      <c r="J22" s="72">
        <f t="shared" si="3"/>
        <v>-828000</v>
      </c>
      <c r="K22" s="72">
        <f>1225000+2684600-30000+1225000+1195000-1319600</f>
        <v>4980000</v>
      </c>
      <c r="L22" s="72">
        <f>920400+920400</f>
        <v>1840800</v>
      </c>
      <c r="M22" s="72">
        <v>2360</v>
      </c>
      <c r="N22" s="72">
        <f t="shared" si="4"/>
        <v>-1015160</v>
      </c>
      <c r="O22" s="72">
        <f t="shared" si="0"/>
        <v>3320000</v>
      </c>
      <c r="P22" s="72">
        <f>920400+920400</f>
        <v>1840800</v>
      </c>
      <c r="Q22" s="72">
        <f>996000+2000000</f>
        <v>2996000</v>
      </c>
      <c r="R22" s="72">
        <f t="shared" si="9"/>
        <v>-1516800</v>
      </c>
      <c r="S22" s="72">
        <f>780000+780000</f>
        <v>1560000</v>
      </c>
      <c r="T22" s="72">
        <f t="shared" si="5"/>
        <v>280800</v>
      </c>
      <c r="U22" s="72"/>
      <c r="V22" s="53">
        <f t="shared" si="7"/>
        <v>-1236000</v>
      </c>
      <c r="W22" s="53">
        <f t="shared" si="1"/>
        <v>8804000</v>
      </c>
      <c r="X22" s="53" t="s">
        <v>116</v>
      </c>
      <c r="Y22" s="74">
        <v>5808000</v>
      </c>
      <c r="Z22" s="75">
        <f t="shared" si="6"/>
        <v>2996000</v>
      </c>
    </row>
    <row r="23" spans="1:26" ht="12.95" customHeight="1" x14ac:dyDescent="0.2">
      <c r="A23" s="70">
        <f t="shared" si="8"/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137"/>
      <c r="G23" s="73">
        <v>9100000</v>
      </c>
      <c r="H23" s="72">
        <f t="shared" si="2"/>
        <v>5460000</v>
      </c>
      <c r="I23" s="72">
        <f>5324000+1092000+500000</f>
        <v>6916000</v>
      </c>
      <c r="J23" s="72">
        <f t="shared" si="3"/>
        <v>-1456000</v>
      </c>
      <c r="K23" s="72">
        <f>1315000+2994200+1315000-164200</f>
        <v>5460000</v>
      </c>
      <c r="L23" s="72">
        <f>1014800+1014800</f>
        <v>2029600</v>
      </c>
      <c r="M23" s="72"/>
      <c r="N23" s="72">
        <f t="shared" si="4"/>
        <v>-573600</v>
      </c>
      <c r="O23" s="72">
        <f t="shared" si="0"/>
        <v>3640000</v>
      </c>
      <c r="P23" s="72">
        <f>1014800+1014800</f>
        <v>2029600</v>
      </c>
      <c r="Q23" s="72">
        <v>1092000</v>
      </c>
      <c r="R23" s="72">
        <f t="shared" si="9"/>
        <v>518400</v>
      </c>
      <c r="S23" s="72">
        <f>860000+860000</f>
        <v>1720000</v>
      </c>
      <c r="T23" s="72">
        <f t="shared" si="5"/>
        <v>309600</v>
      </c>
      <c r="U23" s="72"/>
      <c r="V23" s="53">
        <f t="shared" si="7"/>
        <v>828000</v>
      </c>
      <c r="W23" s="53">
        <f t="shared" si="1"/>
        <v>8008000</v>
      </c>
      <c r="X23" s="53" t="s">
        <v>116</v>
      </c>
      <c r="Y23" s="74">
        <v>6416000</v>
      </c>
      <c r="Z23" s="75">
        <f t="shared" si="6"/>
        <v>1592000</v>
      </c>
    </row>
    <row r="24" spans="1:26" ht="12.95" customHeight="1" x14ac:dyDescent="0.2">
      <c r="A24" s="70">
        <f t="shared" si="8"/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137"/>
      <c r="G24" s="73">
        <v>9000000</v>
      </c>
      <c r="H24" s="72">
        <f t="shared" si="2"/>
        <v>5400000</v>
      </c>
      <c r="I24" s="72">
        <f>225000+1000000+4035000+1080000</f>
        <v>6340000</v>
      </c>
      <c r="J24" s="72">
        <f t="shared" si="3"/>
        <v>-940000</v>
      </c>
      <c r="K24" s="72">
        <f>225000+1300000+1300000</f>
        <v>2825000</v>
      </c>
      <c r="L24" s="72">
        <f>1003000+1003000</f>
        <v>2006000</v>
      </c>
      <c r="M24" s="72"/>
      <c r="N24" s="72">
        <f t="shared" si="4"/>
        <v>1509000</v>
      </c>
      <c r="O24" s="72">
        <f t="shared" si="0"/>
        <v>3600000</v>
      </c>
      <c r="P24" s="72">
        <f>1003000+1003000</f>
        <v>2006000</v>
      </c>
      <c r="Q24" s="72">
        <f>1080000</f>
        <v>1080000</v>
      </c>
      <c r="R24" s="72">
        <f t="shared" si="9"/>
        <v>514000</v>
      </c>
      <c r="S24" s="72">
        <v>1700000</v>
      </c>
      <c r="T24" s="72">
        <f t="shared" si="5"/>
        <v>306000</v>
      </c>
      <c r="U24" s="72"/>
      <c r="V24" s="53">
        <f t="shared" si="7"/>
        <v>820000</v>
      </c>
      <c r="W24" s="53">
        <f t="shared" si="1"/>
        <v>7420000</v>
      </c>
      <c r="X24" s="53" t="s">
        <v>116</v>
      </c>
      <c r="Y24" s="74">
        <v>6340000</v>
      </c>
      <c r="Z24" s="75">
        <f t="shared" si="6"/>
        <v>1080000</v>
      </c>
    </row>
    <row r="25" spans="1:26" ht="12.95" customHeight="1" x14ac:dyDescent="0.2">
      <c r="A25" s="70">
        <f t="shared" si="8"/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137"/>
      <c r="G25" s="73">
        <v>9100000</v>
      </c>
      <c r="H25" s="72">
        <f t="shared" si="2"/>
        <v>5460000</v>
      </c>
      <c r="I25" s="72">
        <f>225000+500000+500000+4099000+1092000</f>
        <v>6416000</v>
      </c>
      <c r="J25" s="72">
        <f t="shared" si="3"/>
        <v>-956000</v>
      </c>
      <c r="K25" s="72">
        <f>1315000+1315000</f>
        <v>2630000</v>
      </c>
      <c r="L25" s="72">
        <f>1014800</f>
        <v>1014800</v>
      </c>
      <c r="M25" s="72"/>
      <c r="N25" s="72">
        <f t="shared" si="4"/>
        <v>2771200</v>
      </c>
      <c r="O25" s="72">
        <f t="shared" si="0"/>
        <v>3640000</v>
      </c>
      <c r="P25" s="72">
        <f>1014800</f>
        <v>1014800</v>
      </c>
      <c r="Q25" s="72">
        <f>1092000</f>
        <v>1092000</v>
      </c>
      <c r="R25" s="72">
        <f t="shared" si="9"/>
        <v>1533200</v>
      </c>
      <c r="S25" s="72">
        <f>860000+860000</f>
        <v>1720000</v>
      </c>
      <c r="T25" s="72">
        <f t="shared" si="5"/>
        <v>309600</v>
      </c>
      <c r="U25" s="72"/>
      <c r="V25" s="53">
        <f t="shared" si="7"/>
        <v>1842800</v>
      </c>
      <c r="W25" s="53">
        <f t="shared" si="1"/>
        <v>7508000</v>
      </c>
      <c r="X25" s="53" t="s">
        <v>116</v>
      </c>
      <c r="Y25" s="74">
        <v>6416000</v>
      </c>
      <c r="Z25" s="75">
        <f t="shared" si="6"/>
        <v>1092000</v>
      </c>
    </row>
    <row r="26" spans="1:26" ht="12.95" customHeight="1" x14ac:dyDescent="0.2">
      <c r="A26" s="70">
        <f t="shared" si="8"/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137"/>
      <c r="G26" s="73">
        <v>9150000</v>
      </c>
      <c r="H26" s="72">
        <f t="shared" si="2"/>
        <v>5490000</v>
      </c>
      <c r="I26" s="72">
        <f>1225000+500000+340000+260000+500000+1206000+500000+500000+325000</f>
        <v>5356000</v>
      </c>
      <c r="J26" s="72">
        <f t="shared" si="3"/>
        <v>134000</v>
      </c>
      <c r="K26" s="72">
        <f>1225000+1322500</f>
        <v>2547500</v>
      </c>
      <c r="L26" s="72">
        <v>1020700</v>
      </c>
      <c r="M26" s="72"/>
      <c r="N26" s="72">
        <f t="shared" si="4"/>
        <v>1787800</v>
      </c>
      <c r="O26" s="72">
        <f t="shared" si="0"/>
        <v>3660000</v>
      </c>
      <c r="P26" s="72">
        <v>1020700</v>
      </c>
      <c r="Q26" s="72">
        <f>1098000+1098000</f>
        <v>2196000</v>
      </c>
      <c r="R26" s="72">
        <f t="shared" si="9"/>
        <v>443300</v>
      </c>
      <c r="S26" s="72">
        <v>1730000</v>
      </c>
      <c r="T26" s="72">
        <f t="shared" si="5"/>
        <v>311400</v>
      </c>
      <c r="U26" s="72"/>
      <c r="V26" s="53">
        <f t="shared" si="7"/>
        <v>754700</v>
      </c>
      <c r="W26" s="53">
        <f t="shared" si="1"/>
        <v>7552000</v>
      </c>
      <c r="X26" s="53" t="s">
        <v>116</v>
      </c>
      <c r="Y26" s="74">
        <v>5356000</v>
      </c>
      <c r="Z26" s="75">
        <f t="shared" si="6"/>
        <v>2196000</v>
      </c>
    </row>
    <row r="27" spans="1:26" ht="12.95" customHeight="1" x14ac:dyDescent="0.2">
      <c r="A27" s="70">
        <f t="shared" si="8"/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137"/>
      <c r="G27" s="73">
        <v>9100000</v>
      </c>
      <c r="H27" s="72">
        <f t="shared" si="2"/>
        <v>5460000</v>
      </c>
      <c r="I27" s="72">
        <f>1200000+4099000+1092000</f>
        <v>6391000</v>
      </c>
      <c r="J27" s="72">
        <f t="shared" si="3"/>
        <v>-931000</v>
      </c>
      <c r="K27" s="72">
        <f>1225000+1315000+1315000</f>
        <v>3855000</v>
      </c>
      <c r="L27" s="72">
        <f>1014800+1014800</f>
        <v>2029600</v>
      </c>
      <c r="M27" s="72"/>
      <c r="N27" s="72">
        <f t="shared" si="4"/>
        <v>506400</v>
      </c>
      <c r="O27" s="72">
        <f t="shared" si="0"/>
        <v>3640000</v>
      </c>
      <c r="P27" s="72">
        <f>1014800+1014800</f>
        <v>2029600</v>
      </c>
      <c r="Q27" s="72">
        <v>1092000</v>
      </c>
      <c r="R27" s="72">
        <f t="shared" si="9"/>
        <v>518400</v>
      </c>
      <c r="S27" s="72">
        <f>1720000+860000</f>
        <v>2580000</v>
      </c>
      <c r="T27" s="72">
        <f t="shared" si="5"/>
        <v>464400</v>
      </c>
      <c r="U27" s="72"/>
      <c r="V27" s="53">
        <f t="shared" si="7"/>
        <v>982800</v>
      </c>
      <c r="W27" s="53">
        <f t="shared" si="1"/>
        <v>7483000</v>
      </c>
      <c r="X27" s="53" t="s">
        <v>116</v>
      </c>
      <c r="Y27" s="74">
        <v>6416000</v>
      </c>
      <c r="Z27" s="75">
        <f t="shared" si="6"/>
        <v>1067000</v>
      </c>
    </row>
    <row r="28" spans="1:26" ht="12.95" customHeight="1" x14ac:dyDescent="0.2">
      <c r="A28" s="70">
        <f t="shared" si="8"/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137"/>
      <c r="G28" s="73">
        <v>9000000</v>
      </c>
      <c r="H28" s="72">
        <f t="shared" si="2"/>
        <v>5400000</v>
      </c>
      <c r="I28" s="72">
        <f>1225000+375000+1400000+1000000+1400000+1100000+500000+1000000+1557358</f>
        <v>9557358</v>
      </c>
      <c r="J28" s="72">
        <f t="shared" si="3"/>
        <v>-4157358</v>
      </c>
      <c r="K28" s="72">
        <f>1225000+1300000+1300000+1575000</f>
        <v>5400000</v>
      </c>
      <c r="L28" s="72">
        <f>1003000+1003000</f>
        <v>2006000</v>
      </c>
      <c r="M28" s="72"/>
      <c r="N28" s="72">
        <f t="shared" si="4"/>
        <v>2151358</v>
      </c>
      <c r="O28" s="72">
        <f t="shared" si="0"/>
        <v>3600000</v>
      </c>
      <c r="P28" s="72">
        <f>1003000+1003000</f>
        <v>2006000</v>
      </c>
      <c r="Q28" s="72">
        <f>-9558</f>
        <v>-9558</v>
      </c>
      <c r="R28" s="72">
        <f t="shared" si="9"/>
        <v>1603558</v>
      </c>
      <c r="S28" s="72">
        <v>1700000</v>
      </c>
      <c r="T28" s="72">
        <f t="shared" si="5"/>
        <v>306000</v>
      </c>
      <c r="U28" s="72"/>
      <c r="V28" s="53">
        <f t="shared" si="7"/>
        <v>1909558</v>
      </c>
      <c r="W28" s="53">
        <f t="shared" si="1"/>
        <v>9547800</v>
      </c>
      <c r="X28" s="53" t="s">
        <v>116</v>
      </c>
      <c r="Y28" s="74">
        <v>8000000</v>
      </c>
      <c r="Z28" s="75">
        <f t="shared" si="6"/>
        <v>1547800</v>
      </c>
    </row>
    <row r="29" spans="1:26" ht="12.95" customHeight="1" x14ac:dyDescent="0.2">
      <c r="A29" s="70">
        <f t="shared" si="8"/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137"/>
      <c r="G29" s="73">
        <v>9070000</v>
      </c>
      <c r="H29" s="72">
        <f t="shared" si="2"/>
        <v>5442000</v>
      </c>
      <c r="I29" s="72">
        <f>225001+3200000+1975000+300000+2970000</f>
        <v>8670001</v>
      </c>
      <c r="J29" s="72">
        <f t="shared" si="3"/>
        <v>-3228001</v>
      </c>
      <c r="K29" s="72">
        <f>1310500+1310500</f>
        <v>2621000</v>
      </c>
      <c r="L29" s="72">
        <f>1011260+1011260</f>
        <v>2022520</v>
      </c>
      <c r="M29" s="72"/>
      <c r="N29" s="136">
        <f t="shared" si="4"/>
        <v>4026481</v>
      </c>
      <c r="O29" s="72">
        <f t="shared" si="0"/>
        <v>3628000</v>
      </c>
      <c r="P29" s="72">
        <f>1011260</f>
        <v>1011260</v>
      </c>
      <c r="Q29" s="72"/>
      <c r="R29" s="72">
        <f t="shared" si="9"/>
        <v>2616740</v>
      </c>
      <c r="S29" s="72">
        <f>1714000+857000</f>
        <v>2571000</v>
      </c>
      <c r="T29" s="72">
        <f t="shared" si="5"/>
        <v>462780</v>
      </c>
      <c r="U29" s="72"/>
      <c r="V29" s="53">
        <f t="shared" si="7"/>
        <v>3079520</v>
      </c>
      <c r="W29" s="53">
        <f t="shared" si="1"/>
        <v>8670001</v>
      </c>
      <c r="X29" s="53" t="s">
        <v>117</v>
      </c>
      <c r="Y29" s="74">
        <v>1925000</v>
      </c>
      <c r="Z29" s="75">
        <f t="shared" si="6"/>
        <v>6745001</v>
      </c>
    </row>
    <row r="30" spans="1:26" ht="12.95" customHeight="1" x14ac:dyDescent="0.2">
      <c r="A30" s="70">
        <f t="shared" si="8"/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137"/>
      <c r="G30" s="73">
        <v>9100000</v>
      </c>
      <c r="H30" s="72">
        <f t="shared" si="2"/>
        <v>5460000</v>
      </c>
      <c r="I30" s="72">
        <f>1225000+4099000</f>
        <v>5324000</v>
      </c>
      <c r="J30" s="72">
        <f t="shared" si="3"/>
        <v>136000</v>
      </c>
      <c r="K30" s="72">
        <f>1225000+1315000</f>
        <v>2540000</v>
      </c>
      <c r="L30" s="72">
        <f>1014800</f>
        <v>1014800</v>
      </c>
      <c r="M30" s="72"/>
      <c r="N30" s="72">
        <f t="shared" si="4"/>
        <v>1769200</v>
      </c>
      <c r="O30" s="72">
        <f t="shared" si="0"/>
        <v>3640000</v>
      </c>
      <c r="P30" s="72">
        <f>1014800</f>
        <v>1014800</v>
      </c>
      <c r="Q30" s="72">
        <f>1072000+512000+600000</f>
        <v>2184000</v>
      </c>
      <c r="R30" s="72">
        <f t="shared" si="9"/>
        <v>441200</v>
      </c>
      <c r="S30" s="72">
        <f>1720000+860000</f>
        <v>2580000</v>
      </c>
      <c r="T30" s="72">
        <f t="shared" si="5"/>
        <v>464400</v>
      </c>
      <c r="U30" s="72"/>
      <c r="V30" s="53">
        <f t="shared" si="7"/>
        <v>905600</v>
      </c>
      <c r="W30" s="53">
        <f t="shared" si="1"/>
        <v>7508000</v>
      </c>
      <c r="X30" s="53" t="s">
        <v>116</v>
      </c>
      <c r="Y30" s="74">
        <v>5324000</v>
      </c>
      <c r="Z30" s="75">
        <f t="shared" si="6"/>
        <v>2184000</v>
      </c>
    </row>
    <row r="31" spans="1:26" ht="12.95" customHeight="1" x14ac:dyDescent="0.2">
      <c r="A31" s="70">
        <f t="shared" si="8"/>
        <v>26</v>
      </c>
      <c r="B31" s="71">
        <v>146</v>
      </c>
      <c r="C31" s="64">
        <v>2040</v>
      </c>
      <c r="D31" s="72" t="s">
        <v>109</v>
      </c>
      <c r="E31" s="76" t="s">
        <v>130</v>
      </c>
      <c r="F31" s="76"/>
      <c r="G31" s="73">
        <v>12375000</v>
      </c>
      <c r="H31" s="72">
        <f t="shared" si="2"/>
        <v>7425000</v>
      </c>
      <c r="I31" s="72">
        <f>25000+1200000+800000+400000+5000000</f>
        <v>7425000</v>
      </c>
      <c r="J31" s="72">
        <f t="shared" si="3"/>
        <v>0</v>
      </c>
      <c r="K31" s="72"/>
      <c r="L31" s="72"/>
      <c r="M31" s="72"/>
      <c r="N31" s="136">
        <f t="shared" si="4"/>
        <v>7425000</v>
      </c>
      <c r="O31" s="72">
        <f t="shared" si="0"/>
        <v>4950000</v>
      </c>
      <c r="P31" s="72"/>
      <c r="Q31" s="72"/>
      <c r="R31" s="72">
        <f t="shared" si="9"/>
        <v>4950000</v>
      </c>
      <c r="S31" s="72"/>
      <c r="T31" s="72">
        <f t="shared" si="5"/>
        <v>0</v>
      </c>
      <c r="U31" s="72"/>
      <c r="V31" s="53">
        <f t="shared" si="7"/>
        <v>4950000</v>
      </c>
      <c r="W31" s="53"/>
      <c r="X31" s="53"/>
      <c r="Y31" s="74"/>
      <c r="Z31" s="75"/>
    </row>
    <row r="32" spans="1:26" ht="12.95" customHeight="1" x14ac:dyDescent="0.2">
      <c r="A32" s="70">
        <f t="shared" si="8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137"/>
      <c r="G32" s="73">
        <v>8930000</v>
      </c>
      <c r="H32" s="72">
        <f t="shared" si="2"/>
        <v>5358000</v>
      </c>
      <c r="I32" s="72">
        <f>2725000+2500000</f>
        <v>5225000</v>
      </c>
      <c r="J32" s="72">
        <f t="shared" si="3"/>
        <v>133000</v>
      </c>
      <c r="K32" s="72">
        <f>2725000+1289500</f>
        <v>4014500</v>
      </c>
      <c r="L32" s="72">
        <v>994750</v>
      </c>
      <c r="M32" s="72"/>
      <c r="N32" s="72">
        <f t="shared" si="4"/>
        <v>215750</v>
      </c>
      <c r="O32" s="72">
        <f t="shared" si="0"/>
        <v>3572000</v>
      </c>
      <c r="P32" s="72">
        <v>994750</v>
      </c>
      <c r="Q32" s="72">
        <f>1071000</f>
        <v>1071000</v>
      </c>
      <c r="R32" s="72">
        <f t="shared" si="9"/>
        <v>1506250</v>
      </c>
      <c r="S32" s="72">
        <v>843000</v>
      </c>
      <c r="T32" s="72">
        <f t="shared" si="5"/>
        <v>151740</v>
      </c>
      <c r="U32" s="72"/>
      <c r="V32" s="53">
        <f t="shared" si="7"/>
        <v>1657990</v>
      </c>
      <c r="W32" s="53">
        <f t="shared" ref="W32:W67" si="10">I32+Q32</f>
        <v>6296000</v>
      </c>
      <c r="X32" s="53" t="s">
        <v>116</v>
      </c>
      <c r="Y32" s="74">
        <v>5225000</v>
      </c>
      <c r="Z32" s="75">
        <f t="shared" si="6"/>
        <v>1071000</v>
      </c>
    </row>
    <row r="33" spans="1:26" ht="12.95" customHeight="1" x14ac:dyDescent="0.2">
      <c r="A33" s="70">
        <f t="shared" si="8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137"/>
      <c r="G33" s="73">
        <v>8600000</v>
      </c>
      <c r="H33" s="72">
        <f t="shared" si="2"/>
        <v>5160000</v>
      </c>
      <c r="I33" s="72">
        <f>1225009+3779000</f>
        <v>5004009</v>
      </c>
      <c r="J33" s="72">
        <f t="shared" si="3"/>
        <v>155991</v>
      </c>
      <c r="K33" s="72">
        <f>1225009+1240000</f>
        <v>2465009</v>
      </c>
      <c r="L33" s="72">
        <v>955800</v>
      </c>
      <c r="M33" s="72"/>
      <c r="N33" s="72">
        <f t="shared" si="4"/>
        <v>1583200</v>
      </c>
      <c r="O33" s="72">
        <f t="shared" si="0"/>
        <v>3440000</v>
      </c>
      <c r="P33" s="72">
        <v>955800</v>
      </c>
      <c r="Q33" s="72">
        <f>1032000+1516700</f>
        <v>2548700</v>
      </c>
      <c r="R33" s="72">
        <f t="shared" si="9"/>
        <v>-64500</v>
      </c>
      <c r="S33" s="72">
        <v>810000</v>
      </c>
      <c r="T33" s="72">
        <f t="shared" si="5"/>
        <v>145800</v>
      </c>
      <c r="U33" s="72"/>
      <c r="V33" s="53">
        <f t="shared" si="7"/>
        <v>81300</v>
      </c>
      <c r="W33" s="53">
        <f t="shared" si="10"/>
        <v>7552709</v>
      </c>
      <c r="X33" s="53" t="s">
        <v>117</v>
      </c>
      <c r="Y33" s="74">
        <v>5004000</v>
      </c>
      <c r="Z33" s="75">
        <f t="shared" si="6"/>
        <v>2548709</v>
      </c>
    </row>
    <row r="34" spans="1:26" ht="12.95" customHeight="1" x14ac:dyDescent="0.2">
      <c r="A34" s="70">
        <f t="shared" si="8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137"/>
      <c r="G34" s="73">
        <v>8600000</v>
      </c>
      <c r="H34" s="72">
        <f t="shared" si="2"/>
        <v>5160000</v>
      </c>
      <c r="I34" s="72">
        <f>1225001+3779000</f>
        <v>5004001</v>
      </c>
      <c r="J34" s="72">
        <f t="shared" si="3"/>
        <v>155999</v>
      </c>
      <c r="K34" s="72">
        <v>1225001</v>
      </c>
      <c r="L34" s="72"/>
      <c r="M34" s="72"/>
      <c r="N34" s="72">
        <f t="shared" si="4"/>
        <v>3779000</v>
      </c>
      <c r="O34" s="72">
        <f t="shared" si="0"/>
        <v>3440000</v>
      </c>
      <c r="P34" s="72"/>
      <c r="Q34" s="72">
        <f>1032000+1032000</f>
        <v>2064000</v>
      </c>
      <c r="R34" s="72">
        <f t="shared" si="9"/>
        <v>1376000</v>
      </c>
      <c r="S34" s="72">
        <v>0</v>
      </c>
      <c r="T34" s="72">
        <f t="shared" si="5"/>
        <v>0</v>
      </c>
      <c r="U34" s="72"/>
      <c r="V34" s="53">
        <f t="shared" si="7"/>
        <v>1376000</v>
      </c>
      <c r="W34" s="53">
        <f t="shared" si="10"/>
        <v>7068001</v>
      </c>
      <c r="X34" s="53" t="s">
        <v>116</v>
      </c>
      <c r="Y34" s="74">
        <v>1225000</v>
      </c>
      <c r="Z34" s="75">
        <f t="shared" si="6"/>
        <v>5843001</v>
      </c>
    </row>
    <row r="35" spans="1:26" ht="12.95" customHeight="1" x14ac:dyDescent="0.2">
      <c r="A35" s="70">
        <f t="shared" si="8"/>
        <v>30</v>
      </c>
      <c r="B35" s="71">
        <v>151</v>
      </c>
      <c r="C35" s="64">
        <v>2040</v>
      </c>
      <c r="D35" s="72" t="s">
        <v>109</v>
      </c>
      <c r="E35" s="71" t="s">
        <v>237</v>
      </c>
      <c r="F35" s="137"/>
      <c r="G35" s="73">
        <v>0</v>
      </c>
      <c r="H35" s="72">
        <f t="shared" si="2"/>
        <v>0</v>
      </c>
      <c r="I35" s="72">
        <f>225000+1000000+625000+550000</f>
        <v>2400000</v>
      </c>
      <c r="J35" s="72">
        <f t="shared" si="3"/>
        <v>-2400000</v>
      </c>
      <c r="K35" s="72">
        <v>0</v>
      </c>
      <c r="L35" s="72"/>
      <c r="M35" s="72"/>
      <c r="N35" s="72">
        <f t="shared" si="4"/>
        <v>2400000</v>
      </c>
      <c r="O35" s="72">
        <f t="shared" si="0"/>
        <v>0</v>
      </c>
      <c r="P35" s="72"/>
      <c r="Q35" s="72">
        <v>0</v>
      </c>
      <c r="R35" s="72">
        <f t="shared" si="9"/>
        <v>0</v>
      </c>
      <c r="S35" s="72">
        <v>0</v>
      </c>
      <c r="T35" s="72">
        <f t="shared" si="5"/>
        <v>0</v>
      </c>
      <c r="U35" s="72"/>
      <c r="V35" s="53">
        <f t="shared" si="7"/>
        <v>0</v>
      </c>
      <c r="W35" s="53">
        <f t="shared" si="10"/>
        <v>2400000</v>
      </c>
      <c r="X35" s="53" t="s">
        <v>116</v>
      </c>
      <c r="Y35" s="74">
        <v>1225007</v>
      </c>
      <c r="Z35" s="75">
        <f t="shared" si="6"/>
        <v>1174993</v>
      </c>
    </row>
    <row r="36" spans="1:26" ht="12.95" customHeight="1" x14ac:dyDescent="0.2">
      <c r="A36" s="70">
        <f t="shared" si="8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137"/>
      <c r="G36" s="73">
        <v>9381000</v>
      </c>
      <c r="H36" s="72">
        <f t="shared" si="2"/>
        <v>5628600</v>
      </c>
      <c r="I36" s="72">
        <f>1200000+4310000</f>
        <v>5510000</v>
      </c>
      <c r="J36" s="72">
        <f t="shared" si="3"/>
        <v>118600</v>
      </c>
      <c r="K36" s="72">
        <f>1200000+1357150</f>
        <v>2557150</v>
      </c>
      <c r="L36" s="72">
        <v>1047958</v>
      </c>
      <c r="M36" s="72"/>
      <c r="N36" s="72">
        <f t="shared" si="4"/>
        <v>1904892</v>
      </c>
      <c r="O36" s="72">
        <f t="shared" si="0"/>
        <v>3752400</v>
      </c>
      <c r="P36" s="72">
        <v>1047958</v>
      </c>
      <c r="Q36" s="72">
        <f>1126000+1130000</f>
        <v>2256000</v>
      </c>
      <c r="R36" s="72">
        <f t="shared" si="9"/>
        <v>448442</v>
      </c>
      <c r="S36" s="72">
        <v>888100</v>
      </c>
      <c r="T36" s="72">
        <f t="shared" si="5"/>
        <v>159858</v>
      </c>
      <c r="U36" s="72"/>
      <c r="V36" s="53">
        <f t="shared" si="7"/>
        <v>608300</v>
      </c>
      <c r="W36" s="53">
        <f t="shared" si="10"/>
        <v>7766000</v>
      </c>
      <c r="X36" s="53" t="s">
        <v>116</v>
      </c>
      <c r="Y36" s="74">
        <v>5510000</v>
      </c>
      <c r="Z36" s="75">
        <f t="shared" si="6"/>
        <v>2256000</v>
      </c>
    </row>
    <row r="37" spans="1:26" ht="12.95" customHeight="1" x14ac:dyDescent="0.2">
      <c r="A37" s="70">
        <f t="shared" si="8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137"/>
      <c r="G37" s="73">
        <v>9100000</v>
      </c>
      <c r="H37" s="72">
        <f t="shared" si="2"/>
        <v>5460000</v>
      </c>
      <c r="I37" s="72">
        <f>1200000+200000+4000000</f>
        <v>5400000</v>
      </c>
      <c r="J37" s="72">
        <f t="shared" si="3"/>
        <v>60000</v>
      </c>
      <c r="K37" s="72">
        <f>1200000+1315000</f>
        <v>2515000</v>
      </c>
      <c r="L37" s="72">
        <v>1014800</v>
      </c>
      <c r="M37" s="72"/>
      <c r="N37" s="72">
        <f t="shared" si="4"/>
        <v>1870200</v>
      </c>
      <c r="O37" s="72">
        <f t="shared" si="0"/>
        <v>3640000</v>
      </c>
      <c r="P37" s="72">
        <v>1014800</v>
      </c>
      <c r="Q37" s="72">
        <f>1092050.8+1092000</f>
        <v>2184050.7999999998</v>
      </c>
      <c r="R37" s="72">
        <f t="shared" si="9"/>
        <v>441149.20000000019</v>
      </c>
      <c r="S37" s="72">
        <v>860000</v>
      </c>
      <c r="T37" s="72">
        <f t="shared" si="5"/>
        <v>154800</v>
      </c>
      <c r="U37" s="72"/>
      <c r="V37" s="53">
        <f t="shared" si="7"/>
        <v>595949.20000000019</v>
      </c>
      <c r="W37" s="53">
        <f t="shared" si="10"/>
        <v>7584050.7999999998</v>
      </c>
      <c r="X37" s="53" t="s">
        <v>117</v>
      </c>
      <c r="Y37" s="74">
        <v>5400000</v>
      </c>
      <c r="Z37" s="75">
        <f t="shared" si="6"/>
        <v>2184050.7999999998</v>
      </c>
    </row>
    <row r="38" spans="1:26" ht="12.95" customHeight="1" x14ac:dyDescent="0.2">
      <c r="A38" s="70">
        <f t="shared" si="8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137"/>
      <c r="G38" s="73">
        <v>9100000</v>
      </c>
      <c r="H38" s="72">
        <f t="shared" si="2"/>
        <v>5460000</v>
      </c>
      <c r="I38" s="72">
        <f>1225000+1400000+2000005.7+699000+1092750</f>
        <v>6416755.7000000002</v>
      </c>
      <c r="J38" s="72">
        <f t="shared" si="3"/>
        <v>-956755.70000000019</v>
      </c>
      <c r="K38" s="72">
        <f>1225000+1315000</f>
        <v>2540000</v>
      </c>
      <c r="L38" s="72">
        <f>1014800</f>
        <v>1014800</v>
      </c>
      <c r="M38" s="72"/>
      <c r="N38" s="72">
        <f t="shared" ref="N38:N67" si="11">I38-K38-M38-L38</f>
        <v>2861955.7</v>
      </c>
      <c r="O38" s="72">
        <f t="shared" si="0"/>
        <v>3640000</v>
      </c>
      <c r="P38" s="72">
        <f>1014800</f>
        <v>1014800</v>
      </c>
      <c r="Q38" s="72">
        <f>1082058</f>
        <v>1082058</v>
      </c>
      <c r="R38" s="72">
        <f t="shared" si="9"/>
        <v>1543142</v>
      </c>
      <c r="S38" s="72">
        <v>860000</v>
      </c>
      <c r="T38" s="72">
        <f t="shared" si="5"/>
        <v>154800</v>
      </c>
      <c r="U38" s="72"/>
      <c r="V38" s="53">
        <f t="shared" si="7"/>
        <v>1697942</v>
      </c>
      <c r="W38" s="53">
        <f t="shared" si="10"/>
        <v>7498813.7000000002</v>
      </c>
      <c r="X38" s="53" t="s">
        <v>116</v>
      </c>
      <c r="Y38" s="74">
        <v>2625000</v>
      </c>
      <c r="Z38" s="75">
        <f t="shared" si="6"/>
        <v>4873813.7</v>
      </c>
    </row>
    <row r="39" spans="1:26" ht="12.95" customHeight="1" x14ac:dyDescent="0.2">
      <c r="A39" s="70">
        <f t="shared" si="8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137"/>
      <c r="G39" s="73">
        <v>8850000</v>
      </c>
      <c r="H39" s="72">
        <f t="shared" si="2"/>
        <v>5310000</v>
      </c>
      <c r="I39" s="72">
        <f>1225000+3939000</f>
        <v>5164000</v>
      </c>
      <c r="J39" s="72">
        <f t="shared" si="3"/>
        <v>146000</v>
      </c>
      <c r="K39" s="72">
        <f>1225000</f>
        <v>1225000</v>
      </c>
      <c r="L39" s="72"/>
      <c r="M39" s="72"/>
      <c r="N39" s="72">
        <f t="shared" si="11"/>
        <v>3939000</v>
      </c>
      <c r="O39" s="72">
        <f t="shared" si="0"/>
        <v>3540000</v>
      </c>
      <c r="P39" s="72"/>
      <c r="Q39" s="72">
        <f>1062000+1062000</f>
        <v>2124000</v>
      </c>
      <c r="R39" s="72">
        <f t="shared" si="9"/>
        <v>1416000</v>
      </c>
      <c r="S39" s="72">
        <v>0</v>
      </c>
      <c r="T39" s="72">
        <f t="shared" si="5"/>
        <v>0</v>
      </c>
      <c r="U39" s="72"/>
      <c r="V39" s="53">
        <f t="shared" si="7"/>
        <v>1416000</v>
      </c>
      <c r="W39" s="53">
        <f t="shared" si="10"/>
        <v>7288000</v>
      </c>
      <c r="X39" s="53" t="s">
        <v>116</v>
      </c>
      <c r="Y39" s="74">
        <v>5164000</v>
      </c>
      <c r="Z39" s="75">
        <f t="shared" si="6"/>
        <v>2124000</v>
      </c>
    </row>
    <row r="40" spans="1:26" ht="12.95" customHeight="1" x14ac:dyDescent="0.2">
      <c r="A40" s="70">
        <f t="shared" si="8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137"/>
      <c r="G40" s="73">
        <v>7350000</v>
      </c>
      <c r="H40" s="72">
        <f t="shared" si="2"/>
        <v>4410000</v>
      </c>
      <c r="I40" s="72">
        <f>1225000+2979000</f>
        <v>4204000</v>
      </c>
      <c r="J40" s="72">
        <f t="shared" si="3"/>
        <v>206000</v>
      </c>
      <c r="K40" s="72">
        <f>1225000+1052500</f>
        <v>2277500</v>
      </c>
      <c r="L40" s="72">
        <v>808300</v>
      </c>
      <c r="M40" s="72"/>
      <c r="N40" s="72">
        <f t="shared" si="11"/>
        <v>1118200</v>
      </c>
      <c r="O40" s="72">
        <f t="shared" si="0"/>
        <v>2940000</v>
      </c>
      <c r="P40" s="72">
        <v>808300</v>
      </c>
      <c r="Q40" s="72">
        <f>882000+882000</f>
        <v>1764000</v>
      </c>
      <c r="R40" s="72">
        <f t="shared" si="9"/>
        <v>367700</v>
      </c>
      <c r="S40" s="74">
        <f>685000+685000</f>
        <v>1370000</v>
      </c>
      <c r="T40" s="72">
        <f t="shared" ref="T40:T45" si="12">S41*18/100</f>
        <v>300600</v>
      </c>
      <c r="U40" s="72"/>
      <c r="V40" s="53">
        <f t="shared" si="7"/>
        <v>668300</v>
      </c>
      <c r="W40" s="53">
        <f t="shared" si="10"/>
        <v>5968000</v>
      </c>
      <c r="X40" s="53" t="s">
        <v>116</v>
      </c>
      <c r="Y40" s="74">
        <v>4204000</v>
      </c>
      <c r="Z40" s="75">
        <f t="shared" si="6"/>
        <v>1764000</v>
      </c>
    </row>
    <row r="41" spans="1:26" ht="12.95" customHeight="1" x14ac:dyDescent="0.2">
      <c r="A41" s="70">
        <f t="shared" si="8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137"/>
      <c r="G41" s="73">
        <v>8850000</v>
      </c>
      <c r="H41" s="72">
        <f t="shared" si="2"/>
        <v>5310000</v>
      </c>
      <c r="I41" s="72">
        <f>1225000+3939000+1062000+500000</f>
        <v>6726000</v>
      </c>
      <c r="J41" s="72">
        <f t="shared" si="3"/>
        <v>-1416000</v>
      </c>
      <c r="K41" s="72">
        <f>1225000+1277500</f>
        <v>2502500</v>
      </c>
      <c r="L41" s="72">
        <v>985300</v>
      </c>
      <c r="M41" s="72"/>
      <c r="N41" s="136">
        <f t="shared" si="11"/>
        <v>3238200</v>
      </c>
      <c r="O41" s="72">
        <f t="shared" si="0"/>
        <v>3540000</v>
      </c>
      <c r="P41" s="72">
        <v>985300</v>
      </c>
      <c r="Q41" s="72">
        <f>2000+560000</f>
        <v>562000</v>
      </c>
      <c r="R41" s="72">
        <f t="shared" si="9"/>
        <v>1992700</v>
      </c>
      <c r="S41" s="72">
        <f>835000+835000</f>
        <v>1670000</v>
      </c>
      <c r="T41" s="72">
        <f t="shared" si="12"/>
        <v>334800</v>
      </c>
      <c r="U41" s="72"/>
      <c r="V41" s="53">
        <f t="shared" si="7"/>
        <v>2327500</v>
      </c>
      <c r="W41" s="53">
        <f t="shared" si="10"/>
        <v>7288000</v>
      </c>
      <c r="X41" s="53" t="s">
        <v>116</v>
      </c>
      <c r="Y41" s="74">
        <v>5164000</v>
      </c>
      <c r="Z41" s="75">
        <f t="shared" si="6"/>
        <v>2124000</v>
      </c>
    </row>
    <row r="42" spans="1:26" ht="12.95" customHeight="1" x14ac:dyDescent="0.2">
      <c r="A42" s="70">
        <f t="shared" si="8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137"/>
      <c r="G42" s="73">
        <v>9800000</v>
      </c>
      <c r="H42" s="72">
        <f t="shared" si="2"/>
        <v>5880000</v>
      </c>
      <c r="I42" s="72">
        <f>1225000+4655000</f>
        <v>5880000</v>
      </c>
      <c r="J42" s="72">
        <f t="shared" si="3"/>
        <v>0</v>
      </c>
      <c r="K42" s="72">
        <f>1420000+4460000</f>
        <v>5880000</v>
      </c>
      <c r="L42" s="72">
        <v>1097400</v>
      </c>
      <c r="M42" s="72"/>
      <c r="N42" s="136">
        <f t="shared" si="11"/>
        <v>-1097400</v>
      </c>
      <c r="O42" s="72">
        <f t="shared" si="0"/>
        <v>3920000</v>
      </c>
      <c r="P42" s="72">
        <v>1097400</v>
      </c>
      <c r="Q42" s="72">
        <f>1176000</f>
        <v>1176000</v>
      </c>
      <c r="R42" s="72">
        <f t="shared" si="9"/>
        <v>1646600</v>
      </c>
      <c r="S42" s="72">
        <f>930000+930000</f>
        <v>1860000</v>
      </c>
      <c r="T42" s="72">
        <f t="shared" si="12"/>
        <v>145800</v>
      </c>
      <c r="U42" s="72">
        <v>1180</v>
      </c>
      <c r="V42" s="53">
        <f t="shared" si="7"/>
        <v>1793580</v>
      </c>
      <c r="W42" s="53">
        <f t="shared" si="10"/>
        <v>7056000</v>
      </c>
      <c r="X42" s="53" t="s">
        <v>116</v>
      </c>
      <c r="Y42" s="74">
        <v>1225000</v>
      </c>
      <c r="Z42" s="75">
        <f t="shared" si="6"/>
        <v>5831000</v>
      </c>
    </row>
    <row r="43" spans="1:26" ht="12.95" customHeight="1" x14ac:dyDescent="0.2">
      <c r="A43" s="70">
        <f t="shared" si="8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137"/>
      <c r="G43" s="73">
        <v>8600000</v>
      </c>
      <c r="H43" s="72">
        <f t="shared" si="2"/>
        <v>5160000</v>
      </c>
      <c r="I43" s="72">
        <f>1225002+995100+2783900</f>
        <v>5004002</v>
      </c>
      <c r="J43" s="72">
        <f t="shared" si="3"/>
        <v>155998</v>
      </c>
      <c r="K43" s="72">
        <f>1225002+1240000</f>
        <v>2465002</v>
      </c>
      <c r="L43" s="72">
        <v>955800</v>
      </c>
      <c r="M43" s="72"/>
      <c r="N43" s="136">
        <f t="shared" si="11"/>
        <v>1583200</v>
      </c>
      <c r="O43" s="72">
        <f t="shared" si="0"/>
        <v>3440000</v>
      </c>
      <c r="P43" s="72">
        <v>955800</v>
      </c>
      <c r="Q43" s="72">
        <f>1032000</f>
        <v>1032000</v>
      </c>
      <c r="R43" s="72">
        <f t="shared" si="9"/>
        <v>1452200</v>
      </c>
      <c r="S43" s="72">
        <v>810000</v>
      </c>
      <c r="T43" s="72">
        <f t="shared" si="12"/>
        <v>332100</v>
      </c>
      <c r="U43" s="72">
        <v>1416</v>
      </c>
      <c r="V43" s="53">
        <f t="shared" si="7"/>
        <v>1785716</v>
      </c>
      <c r="W43" s="53">
        <f t="shared" si="10"/>
        <v>6036002</v>
      </c>
      <c r="X43" s="53" t="s">
        <v>116</v>
      </c>
      <c r="Y43" s="74">
        <v>1225000</v>
      </c>
      <c r="Z43" s="75">
        <f t="shared" si="6"/>
        <v>4811002</v>
      </c>
    </row>
    <row r="44" spans="1:26" ht="12.95" customHeight="1" x14ac:dyDescent="0.2">
      <c r="A44" s="70">
        <f t="shared" si="8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137"/>
      <c r="G44" s="73">
        <v>7725000</v>
      </c>
      <c r="H44" s="72">
        <f t="shared" si="2"/>
        <v>4635000</v>
      </c>
      <c r="I44" s="72">
        <v>4444000</v>
      </c>
      <c r="J44" s="72">
        <f t="shared" si="3"/>
        <v>191000</v>
      </c>
      <c r="K44" s="72">
        <v>1408750</v>
      </c>
      <c r="L44" s="72">
        <v>1088550</v>
      </c>
      <c r="M44" s="72"/>
      <c r="N44" s="72">
        <f t="shared" si="11"/>
        <v>1946700</v>
      </c>
      <c r="O44" s="72">
        <f t="shared" si="0"/>
        <v>3090000</v>
      </c>
      <c r="P44" s="72">
        <v>1088550</v>
      </c>
      <c r="Q44" s="72">
        <f>527000+400000+27000+600000+300000</f>
        <v>1854000</v>
      </c>
      <c r="R44" s="72">
        <f t="shared" si="9"/>
        <v>147450</v>
      </c>
      <c r="S44" s="72">
        <f>922500+922500</f>
        <v>1845000</v>
      </c>
      <c r="T44" s="72">
        <f t="shared" si="12"/>
        <v>374400</v>
      </c>
      <c r="U44" s="72"/>
      <c r="V44" s="53">
        <f t="shared" si="7"/>
        <v>521850</v>
      </c>
      <c r="W44" s="53">
        <f t="shared" si="10"/>
        <v>6298000</v>
      </c>
      <c r="X44" s="53" t="s">
        <v>116</v>
      </c>
      <c r="Y44" s="74">
        <v>4444000</v>
      </c>
      <c r="Z44" s="75">
        <f t="shared" si="6"/>
        <v>1854000</v>
      </c>
    </row>
    <row r="45" spans="1:26" ht="12.95" customHeight="1" x14ac:dyDescent="0.2">
      <c r="A45" s="70">
        <f t="shared" si="8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137"/>
      <c r="G45" s="73">
        <v>10900000</v>
      </c>
      <c r="H45" s="72">
        <f t="shared" si="2"/>
        <v>6540000</v>
      </c>
      <c r="I45" s="72">
        <f>2355000+5429000</f>
        <v>7784000</v>
      </c>
      <c r="J45" s="72">
        <f t="shared" si="3"/>
        <v>-1244000</v>
      </c>
      <c r="K45" s="72">
        <f>1585000</f>
        <v>1585000</v>
      </c>
      <c r="L45" s="72">
        <v>1227200</v>
      </c>
      <c r="M45" s="72">
        <v>3658</v>
      </c>
      <c r="N45" s="72">
        <f t="shared" si="11"/>
        <v>4968142</v>
      </c>
      <c r="O45" s="72">
        <f t="shared" si="0"/>
        <v>4360000</v>
      </c>
      <c r="P45" s="72">
        <v>1227200</v>
      </c>
      <c r="Q45" s="72">
        <f>1308000</f>
        <v>1308000</v>
      </c>
      <c r="R45" s="72">
        <f t="shared" si="9"/>
        <v>1824800</v>
      </c>
      <c r="S45" s="72">
        <f>1040000+1040000</f>
        <v>2080000</v>
      </c>
      <c r="T45" s="72">
        <f t="shared" si="12"/>
        <v>264600</v>
      </c>
      <c r="U45" s="72"/>
      <c r="V45" s="53">
        <f t="shared" si="7"/>
        <v>2089400</v>
      </c>
      <c r="W45" s="53">
        <f t="shared" si="10"/>
        <v>9092000</v>
      </c>
      <c r="X45" s="53" t="s">
        <v>116</v>
      </c>
      <c r="Y45" s="74">
        <v>2355000</v>
      </c>
      <c r="Z45" s="75">
        <f t="shared" si="6"/>
        <v>6737000</v>
      </c>
    </row>
    <row r="46" spans="1:26" ht="12.95" customHeight="1" x14ac:dyDescent="0.2">
      <c r="A46" s="70">
        <f t="shared" si="8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137"/>
      <c r="G46" s="73">
        <v>7850000</v>
      </c>
      <c r="H46" s="72">
        <f t="shared" si="2"/>
        <v>4710000</v>
      </c>
      <c r="I46" s="72">
        <f>1225000+4900000+800000+565200</f>
        <v>7490200</v>
      </c>
      <c r="J46" s="72">
        <f t="shared" si="3"/>
        <v>-2780200</v>
      </c>
      <c r="K46" s="72">
        <v>3480000</v>
      </c>
      <c r="L46" s="72">
        <f>867300+867300</f>
        <v>1734600</v>
      </c>
      <c r="M46" s="72"/>
      <c r="N46" s="72">
        <f t="shared" si="11"/>
        <v>2275600</v>
      </c>
      <c r="O46" s="72">
        <f t="shared" si="0"/>
        <v>3140000</v>
      </c>
      <c r="P46" s="72">
        <f>867300+867300</f>
        <v>1734600</v>
      </c>
      <c r="Q46" s="72">
        <f>600000</f>
        <v>600000</v>
      </c>
      <c r="R46" s="72">
        <f t="shared" si="9"/>
        <v>805400</v>
      </c>
      <c r="S46" s="72">
        <v>1470000</v>
      </c>
      <c r="T46" s="72">
        <f>S46*18/100</f>
        <v>264600</v>
      </c>
      <c r="U46" s="72"/>
      <c r="V46" s="53">
        <f t="shared" si="7"/>
        <v>1070000</v>
      </c>
      <c r="W46" s="53">
        <f t="shared" si="10"/>
        <v>8090200</v>
      </c>
      <c r="X46" s="53" t="s">
        <v>116</v>
      </c>
      <c r="Y46" s="74">
        <v>6125000</v>
      </c>
      <c r="Z46" s="75">
        <f t="shared" si="6"/>
        <v>1965200</v>
      </c>
    </row>
    <row r="47" spans="1:26" ht="12.95" customHeight="1" x14ac:dyDescent="0.2">
      <c r="A47" s="70">
        <f t="shared" si="8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137"/>
      <c r="G47" s="73">
        <v>9700000</v>
      </c>
      <c r="H47" s="72">
        <f t="shared" si="2"/>
        <v>5820000</v>
      </c>
      <c r="I47" s="72">
        <f>6872000+1164000</f>
        <v>8036000</v>
      </c>
      <c r="J47" s="72">
        <f t="shared" si="3"/>
        <v>-2216000</v>
      </c>
      <c r="K47" s="72">
        <f>1405000+1405000</f>
        <v>2810000</v>
      </c>
      <c r="L47" s="72">
        <f>1085600+1085600</f>
        <v>2171200</v>
      </c>
      <c r="M47" s="72"/>
      <c r="N47" s="72">
        <f t="shared" si="11"/>
        <v>3054800</v>
      </c>
      <c r="O47" s="72">
        <f t="shared" si="0"/>
        <v>3880000</v>
      </c>
      <c r="P47" s="72">
        <f>1085600+1085600</f>
        <v>2171200</v>
      </c>
      <c r="Q47" s="72"/>
      <c r="R47" s="72">
        <f t="shared" si="9"/>
        <v>1708800</v>
      </c>
      <c r="S47" s="72">
        <v>1840000</v>
      </c>
      <c r="T47" s="72">
        <f t="shared" si="5"/>
        <v>331200</v>
      </c>
      <c r="U47" s="72"/>
      <c r="V47" s="53">
        <f t="shared" si="7"/>
        <v>2040000</v>
      </c>
      <c r="W47" s="53">
        <f t="shared" si="10"/>
        <v>8036000</v>
      </c>
      <c r="X47" s="53" t="s">
        <v>116</v>
      </c>
      <c r="Y47" s="74">
        <v>6872000</v>
      </c>
      <c r="Z47" s="75">
        <f t="shared" si="6"/>
        <v>1164000</v>
      </c>
    </row>
    <row r="48" spans="1:26" ht="12.95" customHeight="1" x14ac:dyDescent="0.2">
      <c r="A48" s="70">
        <f t="shared" si="8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137"/>
      <c r="G48" s="73">
        <v>8300000</v>
      </c>
      <c r="H48" s="72">
        <f t="shared" si="2"/>
        <v>4980000</v>
      </c>
      <c r="I48" s="72">
        <f>1225001+3581100</f>
        <v>4806101</v>
      </c>
      <c r="J48" s="72">
        <f t="shared" si="3"/>
        <v>173899</v>
      </c>
      <c r="K48" s="72">
        <f>1495000+1495000</f>
        <v>2990000</v>
      </c>
      <c r="L48" s="72">
        <f>1156400+1156400</f>
        <v>2312800</v>
      </c>
      <c r="M48" s="72"/>
      <c r="N48" s="136">
        <f t="shared" si="11"/>
        <v>-496699</v>
      </c>
      <c r="O48" s="72">
        <f t="shared" si="0"/>
        <v>3320000</v>
      </c>
      <c r="P48" s="72">
        <f>1156400+1156400</f>
        <v>2312800</v>
      </c>
      <c r="Q48" s="72">
        <f>1992000</f>
        <v>1992000</v>
      </c>
      <c r="R48" s="72">
        <f t="shared" si="9"/>
        <v>-984800</v>
      </c>
      <c r="S48" s="72">
        <f>1960000+980000</f>
        <v>2940000</v>
      </c>
      <c r="T48" s="72">
        <f t="shared" si="5"/>
        <v>529200</v>
      </c>
      <c r="U48" s="72"/>
      <c r="V48" s="53">
        <f t="shared" si="7"/>
        <v>-455600</v>
      </c>
      <c r="W48" s="53">
        <f t="shared" si="10"/>
        <v>6798101</v>
      </c>
      <c r="X48" s="53" t="s">
        <v>116</v>
      </c>
      <c r="Y48" s="74">
        <v>725000</v>
      </c>
      <c r="Z48" s="75">
        <f t="shared" si="6"/>
        <v>6073101</v>
      </c>
    </row>
    <row r="49" spans="1:26" ht="12.95" customHeight="1" x14ac:dyDescent="0.2">
      <c r="A49" s="70">
        <f t="shared" si="8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137"/>
      <c r="G49" s="73">
        <v>5000000</v>
      </c>
      <c r="H49" s="72">
        <f t="shared" si="2"/>
        <v>3000000</v>
      </c>
      <c r="I49" s="72">
        <v>6049307</v>
      </c>
      <c r="J49" s="72">
        <f t="shared" si="3"/>
        <v>-3049307</v>
      </c>
      <c r="K49" s="72">
        <v>3000000</v>
      </c>
      <c r="L49" s="72">
        <f>1062000</f>
        <v>1062000</v>
      </c>
      <c r="M49" s="72"/>
      <c r="N49" s="72">
        <f t="shared" si="11"/>
        <v>1987307</v>
      </c>
      <c r="O49" s="72">
        <f t="shared" si="0"/>
        <v>2000000</v>
      </c>
      <c r="P49" s="72">
        <f>1062000</f>
        <v>1062000</v>
      </c>
      <c r="Q49" s="72"/>
      <c r="R49" s="72">
        <f t="shared" si="9"/>
        <v>938000</v>
      </c>
      <c r="S49" s="72">
        <v>900000</v>
      </c>
      <c r="T49" s="72">
        <f t="shared" si="5"/>
        <v>162000</v>
      </c>
      <c r="U49" s="72"/>
      <c r="V49" s="53">
        <f t="shared" si="7"/>
        <v>1100000</v>
      </c>
      <c r="W49" s="53">
        <f t="shared" si="10"/>
        <v>6049307</v>
      </c>
      <c r="X49" s="53"/>
      <c r="Y49" s="74">
        <v>4260007</v>
      </c>
      <c r="Z49" s="75">
        <f t="shared" si="6"/>
        <v>1789300</v>
      </c>
    </row>
    <row r="50" spans="1:26" ht="12.95" customHeight="1" x14ac:dyDescent="0.2">
      <c r="A50" s="70">
        <f t="shared" si="8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137"/>
      <c r="G50" s="73">
        <v>10875000</v>
      </c>
      <c r="H50" s="72">
        <f t="shared" si="2"/>
        <v>6525000</v>
      </c>
      <c r="I50" s="72">
        <f>1225000+5235000</f>
        <v>6460000</v>
      </c>
      <c r="J50" s="72">
        <f t="shared" si="3"/>
        <v>65000</v>
      </c>
      <c r="K50" s="72">
        <v>6525000</v>
      </c>
      <c r="L50" s="72"/>
      <c r="M50" s="72"/>
      <c r="N50" s="72">
        <f t="shared" si="11"/>
        <v>-65000</v>
      </c>
      <c r="O50" s="72">
        <f t="shared" si="0"/>
        <v>4350000</v>
      </c>
      <c r="P50" s="72"/>
      <c r="Q50" s="72">
        <f>1305000</f>
        <v>1305000</v>
      </c>
      <c r="R50" s="72">
        <f t="shared" si="9"/>
        <v>3045000</v>
      </c>
      <c r="S50" s="72">
        <v>0</v>
      </c>
      <c r="T50" s="72">
        <f t="shared" si="5"/>
        <v>0</v>
      </c>
      <c r="U50" s="72"/>
      <c r="V50" s="53">
        <f t="shared" si="7"/>
        <v>3045000</v>
      </c>
      <c r="W50" s="53">
        <f t="shared" si="10"/>
        <v>7765000</v>
      </c>
      <c r="X50" s="53" t="s">
        <v>116</v>
      </c>
      <c r="Y50" s="74">
        <v>1225000</v>
      </c>
      <c r="Z50" s="75">
        <f t="shared" si="6"/>
        <v>6540000</v>
      </c>
    </row>
    <row r="51" spans="1:26" ht="12.95" customHeight="1" x14ac:dyDescent="0.2">
      <c r="A51" s="70">
        <f t="shared" si="8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137"/>
      <c r="G51" s="73">
        <v>10900000</v>
      </c>
      <c r="H51" s="72">
        <f t="shared" si="2"/>
        <v>6540000</v>
      </c>
      <c r="I51" s="72">
        <f>725000+500000+500000+500000+500000+75000+3740000-93123</f>
        <v>6446877</v>
      </c>
      <c r="J51" s="72">
        <f t="shared" si="3"/>
        <v>93123</v>
      </c>
      <c r="K51" s="72">
        <v>6540000</v>
      </c>
      <c r="L51" s="72"/>
      <c r="M51" s="72"/>
      <c r="N51" s="136">
        <f t="shared" si="11"/>
        <v>-93123</v>
      </c>
      <c r="O51" s="72">
        <f t="shared" si="0"/>
        <v>4360000</v>
      </c>
      <c r="P51" s="72"/>
      <c r="Q51" s="72">
        <f>600000+1542000</f>
        <v>2142000</v>
      </c>
      <c r="R51" s="72">
        <f t="shared" si="9"/>
        <v>2218000</v>
      </c>
      <c r="S51" s="72"/>
      <c r="T51" s="72">
        <f t="shared" si="5"/>
        <v>0</v>
      </c>
      <c r="U51" s="72"/>
      <c r="V51" s="53">
        <f t="shared" si="7"/>
        <v>2218000</v>
      </c>
      <c r="W51" s="53"/>
      <c r="X51" s="53" t="s">
        <v>116</v>
      </c>
      <c r="Y51" s="74">
        <v>725000</v>
      </c>
      <c r="Z51" s="75">
        <f t="shared" si="6"/>
        <v>-725000</v>
      </c>
    </row>
    <row r="52" spans="1:26" ht="12.95" customHeight="1" x14ac:dyDescent="0.2">
      <c r="A52" s="70">
        <f t="shared" si="8"/>
        <v>47</v>
      </c>
      <c r="B52" s="71">
        <v>167</v>
      </c>
      <c r="C52" s="64">
        <v>2040</v>
      </c>
      <c r="D52" s="72" t="s">
        <v>238</v>
      </c>
      <c r="E52" s="71" t="s">
        <v>239</v>
      </c>
      <c r="F52" s="137"/>
      <c r="G52" s="73"/>
      <c r="H52" s="72"/>
      <c r="I52" s="72">
        <f>1225000+7485000</f>
        <v>8710000</v>
      </c>
      <c r="J52" s="72"/>
      <c r="K52" s="72"/>
      <c r="L52" s="72"/>
      <c r="M52" s="72"/>
      <c r="N52" s="136">
        <f t="shared" si="11"/>
        <v>8710000</v>
      </c>
      <c r="O52" s="72">
        <f t="shared" si="0"/>
        <v>0</v>
      </c>
      <c r="P52" s="72"/>
      <c r="Q52" s="72"/>
      <c r="R52" s="72">
        <f t="shared" si="9"/>
        <v>0</v>
      </c>
      <c r="S52" s="72">
        <f>1040000</f>
        <v>1040000</v>
      </c>
      <c r="T52" s="72"/>
      <c r="U52" s="72">
        <v>12508</v>
      </c>
      <c r="V52" s="53">
        <f t="shared" si="7"/>
        <v>12508</v>
      </c>
      <c r="W52" s="53"/>
      <c r="X52" s="53"/>
      <c r="Y52" s="74"/>
      <c r="Z52" s="75"/>
    </row>
    <row r="53" spans="1:26" ht="12.95" customHeight="1" x14ac:dyDescent="0.2">
      <c r="A53" s="70">
        <f t="shared" si="8"/>
        <v>48</v>
      </c>
      <c r="B53" s="71">
        <v>169</v>
      </c>
      <c r="C53" s="64">
        <v>2040</v>
      </c>
      <c r="D53" s="72" t="s">
        <v>109</v>
      </c>
      <c r="E53" s="71" t="s">
        <v>93</v>
      </c>
      <c r="F53" s="137"/>
      <c r="G53" s="73">
        <v>11350000</v>
      </c>
      <c r="H53" s="72">
        <f t="shared" si="2"/>
        <v>6810000</v>
      </c>
      <c r="I53" s="72">
        <f>225000+1000000+5539000</f>
        <v>6764000</v>
      </c>
      <c r="J53" s="72">
        <f t="shared" si="3"/>
        <v>46000</v>
      </c>
      <c r="K53" s="72">
        <v>6810000</v>
      </c>
      <c r="L53" s="72"/>
      <c r="M53" s="72"/>
      <c r="N53" s="72">
        <f t="shared" si="11"/>
        <v>-46000</v>
      </c>
      <c r="O53" s="72">
        <f t="shared" si="0"/>
        <v>4540000</v>
      </c>
      <c r="P53" s="72"/>
      <c r="Q53" s="72"/>
      <c r="R53" s="72">
        <f t="shared" si="9"/>
        <v>4540000</v>
      </c>
      <c r="S53" s="72">
        <v>0</v>
      </c>
      <c r="T53" s="72">
        <f t="shared" si="5"/>
        <v>0</v>
      </c>
      <c r="U53" s="72"/>
      <c r="V53" s="53">
        <f t="shared" si="7"/>
        <v>4540000</v>
      </c>
      <c r="W53" s="53">
        <f t="shared" si="10"/>
        <v>6764000</v>
      </c>
      <c r="X53" s="53" t="s">
        <v>116</v>
      </c>
      <c r="Y53" s="74">
        <v>225000</v>
      </c>
      <c r="Z53" s="75">
        <f t="shared" si="6"/>
        <v>6539000</v>
      </c>
    </row>
    <row r="54" spans="1:26" ht="12.95" customHeight="1" x14ac:dyDescent="0.2">
      <c r="A54" s="70">
        <f t="shared" si="8"/>
        <v>49</v>
      </c>
      <c r="B54" s="71">
        <v>170</v>
      </c>
      <c r="C54" s="64">
        <v>2040</v>
      </c>
      <c r="D54" s="72" t="s">
        <v>109</v>
      </c>
      <c r="E54" s="71" t="s">
        <v>94</v>
      </c>
      <c r="F54" s="137"/>
      <c r="G54" s="73">
        <v>10400000</v>
      </c>
      <c r="H54" s="72">
        <f t="shared" si="2"/>
        <v>6240000</v>
      </c>
      <c r="I54" s="72">
        <f>1425000+946200+3784800</f>
        <v>6156000</v>
      </c>
      <c r="J54" s="72">
        <f t="shared" si="3"/>
        <v>84000</v>
      </c>
      <c r="K54" s="72">
        <v>6156000</v>
      </c>
      <c r="L54" s="72"/>
      <c r="M54" s="72"/>
      <c r="N54" s="136">
        <f t="shared" si="11"/>
        <v>0</v>
      </c>
      <c r="O54" s="72">
        <f t="shared" si="0"/>
        <v>4160000</v>
      </c>
      <c r="P54" s="72"/>
      <c r="Q54" s="72">
        <f>278400+969600</f>
        <v>1248000</v>
      </c>
      <c r="R54" s="72">
        <f t="shared" si="9"/>
        <v>2912000</v>
      </c>
      <c r="S54" s="72">
        <v>0</v>
      </c>
      <c r="T54" s="72">
        <f t="shared" si="5"/>
        <v>0</v>
      </c>
      <c r="U54" s="72"/>
      <c r="V54" s="53">
        <f t="shared" si="7"/>
        <v>2912000</v>
      </c>
      <c r="W54" s="53">
        <f t="shared" si="10"/>
        <v>7404000</v>
      </c>
      <c r="X54" s="53" t="s">
        <v>116</v>
      </c>
      <c r="Y54" s="74">
        <v>1425000</v>
      </c>
      <c r="Z54" s="75">
        <f t="shared" si="6"/>
        <v>5979000</v>
      </c>
    </row>
    <row r="55" spans="1:26" ht="12.95" customHeight="1" x14ac:dyDescent="0.2">
      <c r="A55" s="70">
        <f t="shared" si="8"/>
        <v>50</v>
      </c>
      <c r="B55" s="71">
        <v>171</v>
      </c>
      <c r="C55" s="64">
        <v>2040</v>
      </c>
      <c r="D55" s="72" t="s">
        <v>109</v>
      </c>
      <c r="E55" s="71" t="s">
        <v>95</v>
      </c>
      <c r="F55" s="137"/>
      <c r="G55" s="73">
        <v>11400000</v>
      </c>
      <c r="H55" s="72">
        <f t="shared" si="2"/>
        <v>6840000</v>
      </c>
      <c r="I55" s="72">
        <f>225000+1000000+5571000</f>
        <v>6796000</v>
      </c>
      <c r="J55" s="72">
        <f t="shared" si="3"/>
        <v>44000</v>
      </c>
      <c r="K55" s="72">
        <v>6840000</v>
      </c>
      <c r="L55" s="72"/>
      <c r="M55" s="72"/>
      <c r="N55" s="72">
        <f t="shared" si="11"/>
        <v>-44000</v>
      </c>
      <c r="O55" s="72">
        <f t="shared" si="0"/>
        <v>4560000</v>
      </c>
      <c r="P55" s="72"/>
      <c r="Q55" s="72"/>
      <c r="R55" s="72">
        <f t="shared" si="9"/>
        <v>4560000</v>
      </c>
      <c r="S55" s="72">
        <v>0</v>
      </c>
      <c r="T55" s="72">
        <f t="shared" si="5"/>
        <v>0</v>
      </c>
      <c r="U55" s="72"/>
      <c r="V55" s="53">
        <f t="shared" si="7"/>
        <v>4560000</v>
      </c>
      <c r="W55" s="53">
        <f t="shared" si="10"/>
        <v>6796000</v>
      </c>
      <c r="X55" s="53" t="s">
        <v>116</v>
      </c>
      <c r="Y55" s="74">
        <v>225000</v>
      </c>
      <c r="Z55" s="75">
        <f t="shared" si="6"/>
        <v>6571000</v>
      </c>
    </row>
    <row r="56" spans="1:26" ht="12.95" customHeight="1" x14ac:dyDescent="0.2">
      <c r="A56" s="70">
        <f t="shared" si="8"/>
        <v>51</v>
      </c>
      <c r="B56" s="71">
        <v>174</v>
      </c>
      <c r="C56" s="64">
        <v>2040</v>
      </c>
      <c r="D56" s="72" t="s">
        <v>109</v>
      </c>
      <c r="E56" s="71" t="s">
        <v>96</v>
      </c>
      <c r="F56" s="137"/>
      <c r="G56" s="73">
        <v>10000000</v>
      </c>
      <c r="H56" s="72">
        <f t="shared" si="2"/>
        <v>6000000</v>
      </c>
      <c r="I56" s="72">
        <f>1225000+2000000+2000000+675000</f>
        <v>5900000</v>
      </c>
      <c r="J56" s="72">
        <f t="shared" si="3"/>
        <v>100000</v>
      </c>
      <c r="K56" s="72"/>
      <c r="L56" s="72"/>
      <c r="M56" s="72"/>
      <c r="N56" s="136">
        <f t="shared" si="11"/>
        <v>5900000</v>
      </c>
      <c r="O56" s="72">
        <f t="shared" si="0"/>
        <v>4000000</v>
      </c>
      <c r="P56" s="72"/>
      <c r="Q56" s="72"/>
      <c r="R56" s="72">
        <f t="shared" si="9"/>
        <v>4000000</v>
      </c>
      <c r="S56" s="72">
        <v>0</v>
      </c>
      <c r="T56" s="72">
        <f t="shared" si="5"/>
        <v>0</v>
      </c>
      <c r="U56" s="72"/>
      <c r="V56" s="53">
        <f t="shared" si="7"/>
        <v>4000000</v>
      </c>
      <c r="W56" s="53">
        <f t="shared" si="10"/>
        <v>5900000</v>
      </c>
      <c r="X56" s="53" t="s">
        <v>116</v>
      </c>
      <c r="Y56" s="74">
        <v>1225000</v>
      </c>
      <c r="Z56" s="75">
        <f t="shared" si="6"/>
        <v>4675000</v>
      </c>
    </row>
    <row r="57" spans="1:26" ht="12.95" customHeight="1" x14ac:dyDescent="0.2">
      <c r="A57" s="70">
        <f t="shared" si="8"/>
        <v>52</v>
      </c>
      <c r="B57" s="71">
        <v>175</v>
      </c>
      <c r="C57" s="64">
        <v>2040</v>
      </c>
      <c r="D57" s="72" t="s">
        <v>109</v>
      </c>
      <c r="E57" s="71" t="s">
        <v>97</v>
      </c>
      <c r="F57" s="137"/>
      <c r="G57" s="73">
        <v>10875000</v>
      </c>
      <c r="H57" s="72">
        <f t="shared" si="2"/>
        <v>6525000</v>
      </c>
      <c r="I57" s="72">
        <f>1225000+500000+4700000+1340000</f>
        <v>7765000</v>
      </c>
      <c r="J57" s="72">
        <f t="shared" si="3"/>
        <v>-1240000</v>
      </c>
      <c r="K57" s="72">
        <v>6525000</v>
      </c>
      <c r="L57" s="72"/>
      <c r="M57" s="72"/>
      <c r="N57" s="72">
        <f t="shared" si="11"/>
        <v>1240000</v>
      </c>
      <c r="O57" s="72">
        <f t="shared" si="0"/>
        <v>4350000</v>
      </c>
      <c r="P57" s="72"/>
      <c r="Q57" s="72"/>
      <c r="R57" s="72">
        <f t="shared" si="9"/>
        <v>4350000</v>
      </c>
      <c r="S57" s="72">
        <v>0</v>
      </c>
      <c r="T57" s="72">
        <f t="shared" si="5"/>
        <v>0</v>
      </c>
      <c r="U57" s="72"/>
      <c r="V57" s="53">
        <f t="shared" si="7"/>
        <v>4350000</v>
      </c>
      <c r="W57" s="53">
        <f t="shared" si="10"/>
        <v>7765000</v>
      </c>
      <c r="X57" s="53" t="s">
        <v>116</v>
      </c>
      <c r="Y57" s="74">
        <v>1225000</v>
      </c>
      <c r="Z57" s="75">
        <f t="shared" si="6"/>
        <v>6540000</v>
      </c>
    </row>
    <row r="58" spans="1:26" ht="12.95" customHeight="1" x14ac:dyDescent="0.2">
      <c r="A58" s="70">
        <f t="shared" si="8"/>
        <v>53</v>
      </c>
      <c r="B58" s="71">
        <v>176</v>
      </c>
      <c r="C58" s="64">
        <v>2040</v>
      </c>
      <c r="D58" s="72" t="s">
        <v>109</v>
      </c>
      <c r="E58" s="71" t="s">
        <v>98</v>
      </c>
      <c r="F58" s="137"/>
      <c r="G58" s="73">
        <v>10000000</v>
      </c>
      <c r="H58" s="72">
        <f t="shared" si="2"/>
        <v>6000000</v>
      </c>
      <c r="I58" s="72">
        <f>5875000+972000</f>
        <v>6847000</v>
      </c>
      <c r="J58" s="72">
        <f t="shared" si="3"/>
        <v>-847000</v>
      </c>
      <c r="K58" s="72">
        <v>6000000</v>
      </c>
      <c r="L58" s="72"/>
      <c r="M58" s="72"/>
      <c r="N58" s="72">
        <f t="shared" si="11"/>
        <v>847000</v>
      </c>
      <c r="O58" s="72">
        <f t="shared" si="0"/>
        <v>4000000</v>
      </c>
      <c r="P58" s="72"/>
      <c r="Q58" s="72"/>
      <c r="R58" s="72">
        <f t="shared" si="9"/>
        <v>4000000</v>
      </c>
      <c r="S58" s="72">
        <v>0</v>
      </c>
      <c r="T58" s="72">
        <f t="shared" si="5"/>
        <v>0</v>
      </c>
      <c r="U58" s="72"/>
      <c r="V58" s="53">
        <f t="shared" si="7"/>
        <v>4000000</v>
      </c>
      <c r="W58" s="53">
        <f t="shared" si="10"/>
        <v>6847000</v>
      </c>
      <c r="X58" s="53" t="s">
        <v>116</v>
      </c>
      <c r="Y58" s="74">
        <v>1225000</v>
      </c>
      <c r="Z58" s="75">
        <f t="shared" si="6"/>
        <v>5622000</v>
      </c>
    </row>
    <row r="59" spans="1:26" ht="12.95" customHeight="1" x14ac:dyDescent="0.2">
      <c r="A59" s="70">
        <f t="shared" si="8"/>
        <v>54</v>
      </c>
      <c r="B59" s="71">
        <v>177</v>
      </c>
      <c r="C59" s="64">
        <v>2040</v>
      </c>
      <c r="D59" s="72" t="s">
        <v>109</v>
      </c>
      <c r="E59" s="71" t="s">
        <v>99</v>
      </c>
      <c r="F59" s="137"/>
      <c r="G59" s="73">
        <v>8500000</v>
      </c>
      <c r="H59" s="72">
        <f t="shared" si="2"/>
        <v>5100000</v>
      </c>
      <c r="I59" s="72">
        <f>3825000+350000+225000</f>
        <v>4400000</v>
      </c>
      <c r="J59" s="72">
        <f t="shared" si="3"/>
        <v>700000</v>
      </c>
      <c r="K59" s="72"/>
      <c r="L59" s="72"/>
      <c r="M59" s="72"/>
      <c r="N59" s="136">
        <f t="shared" si="11"/>
        <v>4400000</v>
      </c>
      <c r="O59" s="72">
        <f t="shared" si="0"/>
        <v>3400000</v>
      </c>
      <c r="P59" s="72"/>
      <c r="Q59" s="72">
        <f>900000+100000+200000</f>
        <v>1200000</v>
      </c>
      <c r="R59" s="72">
        <f t="shared" si="9"/>
        <v>2200000</v>
      </c>
      <c r="S59" s="72">
        <v>0</v>
      </c>
      <c r="T59" s="72">
        <f t="shared" si="5"/>
        <v>0</v>
      </c>
      <c r="U59" s="72"/>
      <c r="V59" s="53">
        <f t="shared" si="7"/>
        <v>2200000</v>
      </c>
      <c r="W59" s="53">
        <f t="shared" si="10"/>
        <v>5600000</v>
      </c>
      <c r="X59" s="53" t="s">
        <v>116</v>
      </c>
      <c r="Y59" s="74">
        <v>1225000</v>
      </c>
      <c r="Z59" s="75">
        <f t="shared" si="6"/>
        <v>4375000</v>
      </c>
    </row>
    <row r="60" spans="1:26" ht="12.95" customHeight="1" x14ac:dyDescent="0.2">
      <c r="A60" s="70">
        <f t="shared" si="8"/>
        <v>55</v>
      </c>
      <c r="B60" s="71">
        <v>178</v>
      </c>
      <c r="C60" s="64">
        <v>2040</v>
      </c>
      <c r="D60" s="72" t="s">
        <v>109</v>
      </c>
      <c r="E60" s="71" t="s">
        <v>100</v>
      </c>
      <c r="F60" s="137"/>
      <c r="G60" s="73">
        <v>12400000</v>
      </c>
      <c r="H60" s="72">
        <f t="shared" si="2"/>
        <v>7440000</v>
      </c>
      <c r="I60" s="72">
        <f>2425000+4000000+1011000+400000+1088000</f>
        <v>8924000</v>
      </c>
      <c r="J60" s="72">
        <f t="shared" si="3"/>
        <v>-1484000</v>
      </c>
      <c r="K60" s="72">
        <v>7440000</v>
      </c>
      <c r="L60" s="72"/>
      <c r="M60" s="72"/>
      <c r="N60" s="136">
        <f t="shared" si="11"/>
        <v>1484000</v>
      </c>
      <c r="O60" s="72">
        <f t="shared" si="0"/>
        <v>4960000</v>
      </c>
      <c r="P60" s="72"/>
      <c r="Q60" s="72"/>
      <c r="R60" s="72">
        <f t="shared" si="9"/>
        <v>4960000</v>
      </c>
      <c r="S60" s="72">
        <v>0</v>
      </c>
      <c r="T60" s="72">
        <f t="shared" si="5"/>
        <v>0</v>
      </c>
      <c r="U60" s="72"/>
      <c r="V60" s="53">
        <f t="shared" si="7"/>
        <v>4960000</v>
      </c>
      <c r="W60" s="53">
        <f t="shared" si="10"/>
        <v>8924000</v>
      </c>
      <c r="X60" s="53" t="s">
        <v>117</v>
      </c>
      <c r="Y60" s="74">
        <v>225000</v>
      </c>
      <c r="Z60" s="75">
        <f t="shared" si="6"/>
        <v>8699000</v>
      </c>
    </row>
    <row r="61" spans="1:26" ht="12.95" customHeight="1" x14ac:dyDescent="0.2">
      <c r="A61" s="70">
        <f t="shared" si="8"/>
        <v>56</v>
      </c>
      <c r="B61" s="71">
        <v>179</v>
      </c>
      <c r="C61" s="64">
        <v>2040</v>
      </c>
      <c r="D61" s="72" t="s">
        <v>109</v>
      </c>
      <c r="E61" s="71" t="s">
        <v>101</v>
      </c>
      <c r="F61" s="137"/>
      <c r="G61" s="73">
        <v>9800000</v>
      </c>
      <c r="H61" s="72">
        <f t="shared" si="2"/>
        <v>5880000</v>
      </c>
      <c r="I61" s="72">
        <f>6025000+1000000</f>
        <v>7025000</v>
      </c>
      <c r="J61" s="72">
        <f t="shared" si="3"/>
        <v>-1145000</v>
      </c>
      <c r="K61" s="72">
        <v>5880000</v>
      </c>
      <c r="L61" s="72"/>
      <c r="M61" s="72">
        <v>3658</v>
      </c>
      <c r="N61" s="72">
        <f t="shared" si="11"/>
        <v>1141342</v>
      </c>
      <c r="O61" s="72">
        <f t="shared" si="0"/>
        <v>3920000</v>
      </c>
      <c r="P61" s="72"/>
      <c r="Q61" s="72"/>
      <c r="R61" s="72">
        <f t="shared" si="9"/>
        <v>3920000</v>
      </c>
      <c r="S61" s="72">
        <v>0</v>
      </c>
      <c r="T61" s="72">
        <f t="shared" si="5"/>
        <v>0</v>
      </c>
      <c r="U61" s="72"/>
      <c r="V61" s="53">
        <f t="shared" si="7"/>
        <v>3920000</v>
      </c>
      <c r="W61" s="53">
        <f t="shared" si="10"/>
        <v>7025000</v>
      </c>
      <c r="X61" s="53" t="s">
        <v>116</v>
      </c>
      <c r="Y61" s="74">
        <v>1225000</v>
      </c>
      <c r="Z61" s="75">
        <f t="shared" si="6"/>
        <v>5800000</v>
      </c>
    </row>
    <row r="62" spans="1:26" ht="12.95" customHeight="1" x14ac:dyDescent="0.2">
      <c r="A62" s="70">
        <f t="shared" si="8"/>
        <v>57</v>
      </c>
      <c r="B62" s="71">
        <v>180</v>
      </c>
      <c r="C62" s="64">
        <v>2040</v>
      </c>
      <c r="D62" s="72" t="s">
        <v>109</v>
      </c>
      <c r="E62" s="71" t="s">
        <v>102</v>
      </c>
      <c r="F62" s="137"/>
      <c r="G62" s="73">
        <v>9800000</v>
      </c>
      <c r="H62" s="72">
        <f t="shared" si="2"/>
        <v>5880000</v>
      </c>
      <c r="I62" s="72">
        <f>225000+5547000</f>
        <v>5772000</v>
      </c>
      <c r="J62" s="72">
        <f t="shared" si="3"/>
        <v>108000</v>
      </c>
      <c r="K62" s="72">
        <f>225000+992200</f>
        <v>1217200</v>
      </c>
      <c r="L62" s="72">
        <v>760864</v>
      </c>
      <c r="M62" s="72"/>
      <c r="N62" s="72">
        <f t="shared" si="11"/>
        <v>3793936</v>
      </c>
      <c r="O62" s="72">
        <f t="shared" si="0"/>
        <v>3920000</v>
      </c>
      <c r="P62" s="72">
        <v>760864</v>
      </c>
      <c r="Q62" s="72">
        <f>1176000+150000+1176000</f>
        <v>2502000</v>
      </c>
      <c r="R62" s="72">
        <f t="shared" si="9"/>
        <v>657136</v>
      </c>
      <c r="S62" s="72">
        <v>1289600</v>
      </c>
      <c r="T62" s="72">
        <f t="shared" si="5"/>
        <v>232128</v>
      </c>
      <c r="U62" s="72"/>
      <c r="V62" s="53">
        <f t="shared" si="7"/>
        <v>889264</v>
      </c>
      <c r="W62" s="53">
        <f t="shared" si="10"/>
        <v>8274000</v>
      </c>
      <c r="X62" s="53" t="s">
        <v>116</v>
      </c>
      <c r="Y62" s="74">
        <v>5772000</v>
      </c>
      <c r="Z62" s="75">
        <f t="shared" si="6"/>
        <v>2502000</v>
      </c>
    </row>
    <row r="63" spans="1:26" ht="12.95" customHeight="1" x14ac:dyDescent="0.2">
      <c r="A63" s="70">
        <f t="shared" si="8"/>
        <v>58</v>
      </c>
      <c r="B63" s="71">
        <v>181</v>
      </c>
      <c r="C63" s="64">
        <v>2040</v>
      </c>
      <c r="D63" s="72" t="s">
        <v>109</v>
      </c>
      <c r="E63" s="71" t="s">
        <v>103</v>
      </c>
      <c r="F63" s="137"/>
      <c r="G63" s="73">
        <v>9600000</v>
      </c>
      <c r="H63" s="72">
        <f t="shared" si="2"/>
        <v>5760000</v>
      </c>
      <c r="I63" s="72">
        <f>1000000+5346451</f>
        <v>6346451</v>
      </c>
      <c r="J63" s="72">
        <f t="shared" si="3"/>
        <v>-586451</v>
      </c>
      <c r="K63" s="72">
        <f>1000000+1390000</f>
        <v>2390000</v>
      </c>
      <c r="L63" s="54">
        <v>1073800</v>
      </c>
      <c r="M63" s="72"/>
      <c r="N63" s="72">
        <f t="shared" si="11"/>
        <v>2882651</v>
      </c>
      <c r="O63" s="72">
        <f t="shared" si="0"/>
        <v>3840000</v>
      </c>
      <c r="P63" s="54">
        <v>1073800</v>
      </c>
      <c r="Q63" s="72">
        <f>1152000+1152000</f>
        <v>2304000</v>
      </c>
      <c r="R63" s="72">
        <f t="shared" si="9"/>
        <v>462200</v>
      </c>
      <c r="S63" s="72">
        <v>1820000</v>
      </c>
      <c r="T63" s="72">
        <f t="shared" si="5"/>
        <v>327600</v>
      </c>
      <c r="U63" s="72"/>
      <c r="V63" s="53">
        <f t="shared" si="7"/>
        <v>789800</v>
      </c>
      <c r="W63" s="53">
        <f t="shared" si="10"/>
        <v>8650451</v>
      </c>
      <c r="X63" s="53" t="s">
        <v>117</v>
      </c>
      <c r="Y63" s="74">
        <v>5546450</v>
      </c>
      <c r="Z63" s="75">
        <f t="shared" si="6"/>
        <v>3104001</v>
      </c>
    </row>
    <row r="64" spans="1:26" ht="12.95" customHeight="1" x14ac:dyDescent="0.2">
      <c r="A64" s="70">
        <f t="shared" si="8"/>
        <v>59</v>
      </c>
      <c r="B64" s="71">
        <v>182</v>
      </c>
      <c r="C64" s="64">
        <v>2040</v>
      </c>
      <c r="D64" s="72" t="s">
        <v>109</v>
      </c>
      <c r="E64" s="71" t="s">
        <v>104</v>
      </c>
      <c r="F64" s="137"/>
      <c r="G64" s="73">
        <v>9950000</v>
      </c>
      <c r="H64" s="72">
        <f t="shared" si="2"/>
        <v>5970000</v>
      </c>
      <c r="I64" s="72">
        <f>6068000+200000+200000</f>
        <v>6468000</v>
      </c>
      <c r="J64" s="72">
        <f t="shared" si="3"/>
        <v>-498000</v>
      </c>
      <c r="K64" s="72">
        <f>1442500</f>
        <v>1442500</v>
      </c>
      <c r="L64" s="72">
        <v>1115100</v>
      </c>
      <c r="M64" s="72"/>
      <c r="N64" s="136">
        <f t="shared" si="11"/>
        <v>3910400</v>
      </c>
      <c r="O64" s="72">
        <f t="shared" si="0"/>
        <v>3980000</v>
      </c>
      <c r="P64" s="72">
        <v>1115100</v>
      </c>
      <c r="Q64" s="72">
        <f>1194000+1194000</f>
        <v>2388000</v>
      </c>
      <c r="R64" s="72">
        <f t="shared" si="9"/>
        <v>476900</v>
      </c>
      <c r="S64" s="72">
        <v>1890000</v>
      </c>
      <c r="T64" s="72">
        <f t="shared" si="5"/>
        <v>340200</v>
      </c>
      <c r="U64" s="72"/>
      <c r="V64" s="53">
        <f t="shared" si="7"/>
        <v>817100</v>
      </c>
      <c r="W64" s="53">
        <f t="shared" si="10"/>
        <v>8856000</v>
      </c>
      <c r="X64" s="53" t="s">
        <v>116</v>
      </c>
      <c r="Y64" s="74">
        <v>6068000</v>
      </c>
      <c r="Z64" s="75">
        <f t="shared" si="6"/>
        <v>2788000</v>
      </c>
    </row>
    <row r="65" spans="1:26" ht="12.95" customHeight="1" x14ac:dyDescent="0.2">
      <c r="A65" s="70">
        <f t="shared" si="8"/>
        <v>60</v>
      </c>
      <c r="B65" s="71">
        <v>183</v>
      </c>
      <c r="C65" s="64">
        <v>2040</v>
      </c>
      <c r="D65" s="72" t="s">
        <v>109</v>
      </c>
      <c r="E65" s="71" t="s">
        <v>105</v>
      </c>
      <c r="F65" s="137"/>
      <c r="G65" s="73">
        <v>10000000</v>
      </c>
      <c r="H65" s="72">
        <f t="shared" si="2"/>
        <v>6000000</v>
      </c>
      <c r="I65" s="72">
        <f>7100000+1200000</f>
        <v>8300000</v>
      </c>
      <c r="J65" s="72">
        <f t="shared" si="3"/>
        <v>-2300000</v>
      </c>
      <c r="K65" s="72">
        <f>1450000+4500000</f>
        <v>5950000</v>
      </c>
      <c r="L65" s="72">
        <v>1121000</v>
      </c>
      <c r="M65" s="72"/>
      <c r="N65" s="72">
        <f t="shared" si="11"/>
        <v>1229000</v>
      </c>
      <c r="O65" s="72">
        <f t="shared" si="0"/>
        <v>4000000</v>
      </c>
      <c r="P65" s="72">
        <v>1121000</v>
      </c>
      <c r="Q65" s="72">
        <v>0</v>
      </c>
      <c r="R65" s="72">
        <f t="shared" si="9"/>
        <v>2879000</v>
      </c>
      <c r="S65" s="72">
        <v>950000</v>
      </c>
      <c r="T65" s="72">
        <f t="shared" si="5"/>
        <v>171000</v>
      </c>
      <c r="U65" s="72"/>
      <c r="V65" s="53">
        <f t="shared" si="7"/>
        <v>3050000</v>
      </c>
      <c r="W65" s="53">
        <f t="shared" si="10"/>
        <v>8300000</v>
      </c>
      <c r="X65" s="53" t="s">
        <v>116</v>
      </c>
      <c r="Y65" s="74">
        <v>5900000</v>
      </c>
      <c r="Z65" s="75">
        <f t="shared" si="6"/>
        <v>2400000</v>
      </c>
    </row>
    <row r="66" spans="1:26" ht="12.95" customHeight="1" x14ac:dyDescent="0.2">
      <c r="A66" s="70">
        <f t="shared" si="8"/>
        <v>61</v>
      </c>
      <c r="B66" s="71">
        <v>184</v>
      </c>
      <c r="C66" s="64">
        <v>2040</v>
      </c>
      <c r="D66" s="72" t="s">
        <v>109</v>
      </c>
      <c r="E66" s="71" t="s">
        <v>106</v>
      </c>
      <c r="F66" s="137"/>
      <c r="G66" s="73">
        <v>10000000</v>
      </c>
      <c r="H66" s="72">
        <f t="shared" si="2"/>
        <v>6000000</v>
      </c>
      <c r="I66" s="72">
        <v>5900000</v>
      </c>
      <c r="J66" s="72">
        <f t="shared" si="3"/>
        <v>100000</v>
      </c>
      <c r="K66" s="72">
        <v>1450000</v>
      </c>
      <c r="L66" s="72">
        <v>1121000</v>
      </c>
      <c r="M66" s="72"/>
      <c r="N66" s="72">
        <f t="shared" si="11"/>
        <v>3329000</v>
      </c>
      <c r="O66" s="72">
        <f t="shared" si="0"/>
        <v>4000000</v>
      </c>
      <c r="P66" s="72">
        <v>1121000</v>
      </c>
      <c r="Q66" s="72">
        <f>1200000+1920000</f>
        <v>3120000</v>
      </c>
      <c r="R66" s="72">
        <f t="shared" si="9"/>
        <v>-241000</v>
      </c>
      <c r="S66" s="72">
        <v>1900000</v>
      </c>
      <c r="T66" s="72">
        <f t="shared" si="5"/>
        <v>342000</v>
      </c>
      <c r="U66" s="72">
        <v>9676</v>
      </c>
      <c r="V66" s="53">
        <f t="shared" si="7"/>
        <v>110676</v>
      </c>
      <c r="W66" s="53">
        <f t="shared" si="10"/>
        <v>9020000</v>
      </c>
      <c r="X66" s="53" t="s">
        <v>116</v>
      </c>
      <c r="Y66" s="74">
        <v>5900000</v>
      </c>
      <c r="Z66" s="75">
        <f t="shared" si="6"/>
        <v>3120000</v>
      </c>
    </row>
    <row r="67" spans="1:26" ht="12.95" customHeight="1" x14ac:dyDescent="0.2">
      <c r="A67" s="70">
        <f t="shared" si="8"/>
        <v>62</v>
      </c>
      <c r="B67" s="71">
        <v>185</v>
      </c>
      <c r="C67" s="64">
        <v>2040</v>
      </c>
      <c r="D67" s="72" t="s">
        <v>109</v>
      </c>
      <c r="E67" s="71" t="s">
        <v>107</v>
      </c>
      <c r="F67" s="137"/>
      <c r="G67" s="73">
        <v>10000000</v>
      </c>
      <c r="H67" s="72">
        <f t="shared" si="2"/>
        <v>6000000</v>
      </c>
      <c r="I67" s="72">
        <v>5900000</v>
      </c>
      <c r="J67" s="72">
        <f t="shared" si="3"/>
        <v>100000</v>
      </c>
      <c r="K67" s="72">
        <v>1450000</v>
      </c>
      <c r="L67" s="72">
        <v>1121000</v>
      </c>
      <c r="M67" s="72"/>
      <c r="N67" s="72">
        <f t="shared" si="11"/>
        <v>3329000</v>
      </c>
      <c r="O67" s="72">
        <f t="shared" si="0"/>
        <v>4000000</v>
      </c>
      <c r="P67" s="72">
        <v>1121000</v>
      </c>
      <c r="Q67" s="72">
        <f>1200000+1200000</f>
        <v>2400000</v>
      </c>
      <c r="R67" s="72">
        <f t="shared" si="9"/>
        <v>479000</v>
      </c>
      <c r="S67" s="72">
        <v>950000</v>
      </c>
      <c r="T67" s="72">
        <f t="shared" si="5"/>
        <v>171000</v>
      </c>
      <c r="U67" s="72"/>
      <c r="V67" s="53">
        <f t="shared" si="7"/>
        <v>650000</v>
      </c>
      <c r="W67" s="53">
        <f t="shared" si="10"/>
        <v>8300000</v>
      </c>
      <c r="X67" s="53" t="s">
        <v>116</v>
      </c>
      <c r="Y67" s="74">
        <v>5900000</v>
      </c>
      <c r="Z67" s="75">
        <f t="shared" si="6"/>
        <v>2400000</v>
      </c>
    </row>
    <row r="68" spans="1:26" ht="12.95" customHeight="1" x14ac:dyDescent="0.2">
      <c r="A68" s="70"/>
      <c r="B68" s="71"/>
      <c r="C68" s="64"/>
      <c r="D68" s="72"/>
      <c r="E68" s="71"/>
      <c r="F68" s="137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>
        <f t="shared" ref="R68" si="13">O68-Q68</f>
        <v>0</v>
      </c>
      <c r="S68" s="72"/>
      <c r="T68" s="72">
        <f t="shared" si="5"/>
        <v>0</v>
      </c>
      <c r="U68" s="72"/>
      <c r="V68" s="53">
        <f t="shared" ref="V68" si="14">Q68-S68-T68</f>
        <v>0</v>
      </c>
      <c r="W68" s="53"/>
      <c r="X68" s="53"/>
      <c r="Y68" s="74"/>
      <c r="Z68" s="75"/>
    </row>
    <row r="69" spans="1:26" ht="12.95" customHeight="1" x14ac:dyDescent="0.2">
      <c r="A69" s="64"/>
      <c r="B69" s="77" t="s">
        <v>22</v>
      </c>
      <c r="C69" s="52"/>
      <c r="D69" s="72"/>
      <c r="E69" s="54"/>
      <c r="F69" s="139"/>
      <c r="G69" s="52">
        <f>SUM(G6:G67)</f>
        <v>552911000</v>
      </c>
      <c r="H69" s="52">
        <f t="shared" ref="H69:Q69" si="15">SUM(H6:H67)</f>
        <v>331746600</v>
      </c>
      <c r="I69" s="52">
        <f t="shared" si="15"/>
        <v>398404611.69999999</v>
      </c>
      <c r="J69" s="52">
        <f t="shared" si="15"/>
        <v>-57948011.700000003</v>
      </c>
      <c r="K69" s="52">
        <f t="shared" si="15"/>
        <v>232692612</v>
      </c>
      <c r="L69" s="52">
        <f t="shared" si="15"/>
        <v>73048814</v>
      </c>
      <c r="M69" s="52"/>
      <c r="N69" s="52">
        <f t="shared" si="15"/>
        <v>92489231.700000003</v>
      </c>
      <c r="O69" s="52">
        <f t="shared" si="15"/>
        <v>221164400</v>
      </c>
      <c r="P69" s="52"/>
      <c r="Q69" s="52">
        <f t="shared" si="15"/>
        <v>88408873.799999997</v>
      </c>
      <c r="R69" s="52"/>
      <c r="S69" s="52">
        <f>SUM(S6:S67)</f>
        <v>94185228</v>
      </c>
      <c r="T69" s="52">
        <f t="shared" ref="T69:V69" si="16">SUM(T6:T67)</f>
        <v>16784141.039999999</v>
      </c>
      <c r="U69" s="52"/>
      <c r="V69" s="52">
        <f t="shared" si="16"/>
        <v>82775431.239999995</v>
      </c>
      <c r="W69" s="52">
        <f>SUM(W6:W67)</f>
        <v>462089608.5</v>
      </c>
      <c r="X69" s="53"/>
      <c r="Y69" s="54">
        <v>271166513</v>
      </c>
      <c r="Z69" s="53">
        <f>Y69-W69</f>
        <v>-190923095.5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132</v>
      </c>
      <c r="B1" s="56" t="s">
        <v>133</v>
      </c>
      <c r="C1" s="56" t="s">
        <v>134</v>
      </c>
      <c r="D1" s="56" t="s">
        <v>135</v>
      </c>
      <c r="E1" s="58" t="s">
        <v>136</v>
      </c>
      <c r="F1" s="56" t="s">
        <v>137</v>
      </c>
      <c r="G1" s="56" t="s">
        <v>138</v>
      </c>
      <c r="H1" s="56"/>
      <c r="I1" s="56" t="s">
        <v>139</v>
      </c>
      <c r="J1" s="56"/>
      <c r="K1" s="56"/>
      <c r="L1" s="56"/>
      <c r="M1" s="56" t="s">
        <v>140</v>
      </c>
      <c r="N1" s="59" t="s">
        <v>141</v>
      </c>
      <c r="O1" s="56" t="s">
        <v>125</v>
      </c>
      <c r="P1" s="78" t="s">
        <v>155</v>
      </c>
      <c r="Q1" s="78" t="s">
        <v>156</v>
      </c>
    </row>
    <row r="2" spans="1:17" x14ac:dyDescent="0.25">
      <c r="A2" s="57">
        <v>1</v>
      </c>
      <c r="B2" s="60" t="s">
        <v>142</v>
      </c>
      <c r="C2" s="90">
        <v>101</v>
      </c>
      <c r="D2" s="57" t="s">
        <v>143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142</v>
      </c>
      <c r="C3" s="90">
        <v>103</v>
      </c>
      <c r="D3" s="57" t="s">
        <v>143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142</v>
      </c>
      <c r="C4" s="90">
        <v>105</v>
      </c>
      <c r="D4" s="57" t="s">
        <v>143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144</v>
      </c>
      <c r="C5" s="90">
        <v>117</v>
      </c>
      <c r="D5" s="57" t="s">
        <v>143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145</v>
      </c>
      <c r="C6" s="60">
        <v>134</v>
      </c>
      <c r="D6" s="57" t="s">
        <v>143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145</v>
      </c>
      <c r="C7" s="60">
        <v>136</v>
      </c>
      <c r="D7" s="57" t="s">
        <v>146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147</v>
      </c>
      <c r="C8" s="60">
        <v>115</v>
      </c>
      <c r="D8" s="57" t="s">
        <v>143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147</v>
      </c>
      <c r="C9" s="60">
        <v>121</v>
      </c>
      <c r="D9" s="57" t="s">
        <v>143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147</v>
      </c>
      <c r="C10" s="60">
        <v>123</v>
      </c>
      <c r="D10" s="57" t="s">
        <v>143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148</v>
      </c>
      <c r="C11" s="60">
        <v>113</v>
      </c>
      <c r="D11" s="57" t="s">
        <v>143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149</v>
      </c>
      <c r="C12" s="60">
        <v>127</v>
      </c>
      <c r="D12" s="57" t="s">
        <v>143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149</v>
      </c>
      <c r="C13" s="60">
        <v>130</v>
      </c>
      <c r="D13" s="57" t="s">
        <v>143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149</v>
      </c>
      <c r="C14" s="60">
        <v>132</v>
      </c>
      <c r="D14" s="57" t="s">
        <v>143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150</v>
      </c>
      <c r="C15" s="60">
        <v>107</v>
      </c>
      <c r="D15" s="57" t="s">
        <v>143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150</v>
      </c>
      <c r="C16" s="60">
        <v>109</v>
      </c>
      <c r="D16" s="57" t="s">
        <v>143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150</v>
      </c>
      <c r="C17" s="60">
        <v>111</v>
      </c>
      <c r="D17" s="57" t="s">
        <v>143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151</v>
      </c>
      <c r="C18" s="60">
        <v>119</v>
      </c>
      <c r="D18" s="57" t="s">
        <v>143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152</v>
      </c>
      <c r="C19" s="60">
        <v>125</v>
      </c>
      <c r="D19" s="57" t="s">
        <v>143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153</v>
      </c>
      <c r="C20" s="60">
        <v>140</v>
      </c>
      <c r="D20" s="57" t="s">
        <v>143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154</v>
      </c>
      <c r="C21" s="60">
        <v>138</v>
      </c>
      <c r="D21" s="57" t="s">
        <v>143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132</v>
      </c>
      <c r="B1" s="56" t="s">
        <v>133</v>
      </c>
      <c r="C1" s="56" t="s">
        <v>134</v>
      </c>
      <c r="D1" s="56" t="s">
        <v>135</v>
      </c>
      <c r="E1" s="58" t="s">
        <v>136</v>
      </c>
      <c r="F1" s="80" t="s">
        <v>157</v>
      </c>
      <c r="G1" s="56" t="s">
        <v>139</v>
      </c>
      <c r="H1" s="78" t="s">
        <v>155</v>
      </c>
      <c r="I1" s="78" t="s">
        <v>156</v>
      </c>
    </row>
    <row r="2" spans="1:9" x14ac:dyDescent="0.25">
      <c r="A2" s="57">
        <v>1</v>
      </c>
      <c r="B2" s="60" t="s">
        <v>142</v>
      </c>
      <c r="C2" s="60">
        <v>101</v>
      </c>
      <c r="D2" s="57" t="s">
        <v>143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142</v>
      </c>
      <c r="C3" s="60">
        <v>103</v>
      </c>
      <c r="D3" s="57" t="s">
        <v>143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142</v>
      </c>
      <c r="C4" s="60">
        <v>105</v>
      </c>
      <c r="D4" s="57" t="s">
        <v>143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144</v>
      </c>
      <c r="C5" s="60">
        <v>117</v>
      </c>
      <c r="D5" s="57" t="s">
        <v>143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145</v>
      </c>
      <c r="C6" s="60">
        <v>134</v>
      </c>
      <c r="D6" s="57" t="s">
        <v>143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145</v>
      </c>
      <c r="C7" s="60">
        <v>136</v>
      </c>
      <c r="D7" s="57" t="s">
        <v>146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147</v>
      </c>
      <c r="C8" s="60">
        <v>115</v>
      </c>
      <c r="D8" s="57" t="s">
        <v>143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147</v>
      </c>
      <c r="C9" s="60">
        <v>121</v>
      </c>
      <c r="D9" s="57" t="s">
        <v>143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147</v>
      </c>
      <c r="C10" s="60">
        <v>123</v>
      </c>
      <c r="D10" s="57" t="s">
        <v>143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148</v>
      </c>
      <c r="C11" s="60">
        <v>113</v>
      </c>
      <c r="D11" s="57" t="s">
        <v>143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149</v>
      </c>
      <c r="C12" s="60">
        <v>127</v>
      </c>
      <c r="D12" s="57" t="s">
        <v>143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149</v>
      </c>
      <c r="C13" s="60">
        <v>130</v>
      </c>
      <c r="D13" s="57" t="s">
        <v>143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149</v>
      </c>
      <c r="C14" s="60">
        <v>132</v>
      </c>
      <c r="D14" s="57" t="s">
        <v>143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150</v>
      </c>
      <c r="C15" s="60">
        <v>107</v>
      </c>
      <c r="D15" s="57" t="s">
        <v>143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150</v>
      </c>
      <c r="C16" s="60">
        <v>109</v>
      </c>
      <c r="D16" s="57" t="s">
        <v>143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150</v>
      </c>
      <c r="C17" s="60">
        <v>111</v>
      </c>
      <c r="D17" s="57" t="s">
        <v>143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151</v>
      </c>
      <c r="C18" s="60">
        <v>119</v>
      </c>
      <c r="D18" s="57" t="s">
        <v>143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152</v>
      </c>
      <c r="C19" s="60">
        <v>125</v>
      </c>
      <c r="D19" s="57" t="s">
        <v>143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153</v>
      </c>
      <c r="C20" s="60">
        <v>140</v>
      </c>
      <c r="D20" s="57" t="s">
        <v>143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154</v>
      </c>
      <c r="C21" s="60">
        <v>138</v>
      </c>
      <c r="D21" s="57" t="s">
        <v>143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184</v>
      </c>
      <c r="E1" s="93"/>
      <c r="F1" s="92"/>
      <c r="G1" s="92"/>
      <c r="H1" s="94"/>
      <c r="I1" s="92"/>
      <c r="J1" s="92" t="s">
        <v>185</v>
      </c>
      <c r="K1" s="92" t="s">
        <v>187</v>
      </c>
      <c r="L1" s="92"/>
      <c r="M1" s="92"/>
      <c r="N1" s="92"/>
      <c r="O1" s="87" t="s">
        <v>185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188</v>
      </c>
      <c r="E2" s="92"/>
      <c r="F2" s="92"/>
      <c r="G2" s="92"/>
      <c r="H2" s="94"/>
      <c r="I2" s="92"/>
      <c r="J2" s="92" t="s">
        <v>186</v>
      </c>
      <c r="K2" s="92" t="s">
        <v>127</v>
      </c>
      <c r="L2" s="92"/>
      <c r="M2" s="92"/>
      <c r="N2" s="92"/>
      <c r="O2" s="87" t="s">
        <v>186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158</v>
      </c>
      <c r="B4" s="95" t="s">
        <v>134</v>
      </c>
      <c r="C4" s="96" t="s">
        <v>135</v>
      </c>
      <c r="D4" s="95" t="s">
        <v>133</v>
      </c>
      <c r="E4" s="95" t="s">
        <v>159</v>
      </c>
      <c r="F4" s="95" t="s">
        <v>136</v>
      </c>
      <c r="G4" s="95" t="s">
        <v>181</v>
      </c>
      <c r="H4" s="56" t="s">
        <v>137</v>
      </c>
      <c r="I4" s="56" t="s">
        <v>138</v>
      </c>
      <c r="J4" s="56" t="s">
        <v>183</v>
      </c>
      <c r="K4" s="97" t="s">
        <v>178</v>
      </c>
      <c r="L4" s="97" t="s">
        <v>179</v>
      </c>
      <c r="M4" s="97" t="s">
        <v>180</v>
      </c>
      <c r="N4" s="98" t="s">
        <v>125</v>
      </c>
      <c r="O4" s="83" t="s">
        <v>182</v>
      </c>
    </row>
    <row r="5" spans="1:21" x14ac:dyDescent="0.25">
      <c r="A5" s="99">
        <v>1</v>
      </c>
      <c r="B5" s="100">
        <v>101</v>
      </c>
      <c r="C5" s="92" t="s">
        <v>143</v>
      </c>
      <c r="D5" s="99" t="s">
        <v>142</v>
      </c>
      <c r="E5" s="99" t="s">
        <v>160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143</v>
      </c>
      <c r="D6" s="99" t="s">
        <v>142</v>
      </c>
      <c r="E6" s="99" t="s">
        <v>161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143</v>
      </c>
      <c r="D7" s="99" t="s">
        <v>142</v>
      </c>
      <c r="E7" s="99" t="s">
        <v>162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143</v>
      </c>
      <c r="D8" s="99" t="s">
        <v>150</v>
      </c>
      <c r="E8" s="99" t="s">
        <v>163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143</v>
      </c>
      <c r="D9" s="99" t="s">
        <v>150</v>
      </c>
      <c r="E9" s="99" t="s">
        <v>164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143</v>
      </c>
      <c r="D10" s="99" t="s">
        <v>150</v>
      </c>
      <c r="E10" s="99" t="s">
        <v>165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143</v>
      </c>
      <c r="D11" s="99" t="s">
        <v>148</v>
      </c>
      <c r="E11" s="101" t="s">
        <v>166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143</v>
      </c>
      <c r="D12" s="99" t="s">
        <v>147</v>
      </c>
      <c r="E12" s="99" t="s">
        <v>167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143</v>
      </c>
      <c r="D13" s="99" t="s">
        <v>144</v>
      </c>
      <c r="E13" s="99" t="s">
        <v>168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143</v>
      </c>
      <c r="D14" s="99" t="s">
        <v>151</v>
      </c>
      <c r="E14" s="99" t="s">
        <v>169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143</v>
      </c>
      <c r="D15" s="99" t="s">
        <v>147</v>
      </c>
      <c r="E15" s="99" t="s">
        <v>170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143</v>
      </c>
      <c r="D16" s="105" t="s">
        <v>147</v>
      </c>
      <c r="E16" s="105" t="s">
        <v>171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143</v>
      </c>
      <c r="D17" s="99" t="s">
        <v>152</v>
      </c>
      <c r="E17" s="99" t="s">
        <v>172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143</v>
      </c>
      <c r="D18" s="99" t="s">
        <v>149</v>
      </c>
      <c r="E18" s="99" t="s">
        <v>173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143</v>
      </c>
      <c r="D19" s="99" t="s">
        <v>149</v>
      </c>
      <c r="E19" s="99" t="s">
        <v>174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143</v>
      </c>
      <c r="D20" s="99" t="s">
        <v>149</v>
      </c>
      <c r="E20" s="99" t="s">
        <v>175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146</v>
      </c>
      <c r="D21" s="108" t="s">
        <v>145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143</v>
      </c>
      <c r="D22" s="99" t="s">
        <v>145</v>
      </c>
      <c r="E22" s="99" t="s">
        <v>176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143</v>
      </c>
      <c r="D23" s="99" t="s">
        <v>154</v>
      </c>
      <c r="E23" s="99" t="s">
        <v>177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143</v>
      </c>
      <c r="D24" s="99" t="s">
        <v>154</v>
      </c>
      <c r="E24" s="58" t="s">
        <v>235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138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183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189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125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190</v>
      </c>
      <c r="C1" s="116"/>
      <c r="D1" s="117"/>
      <c r="E1" s="118"/>
    </row>
    <row r="2" spans="1:5" x14ac:dyDescent="0.25">
      <c r="A2" s="119">
        <v>1</v>
      </c>
      <c r="B2" s="120" t="s">
        <v>191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192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193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194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195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196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197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198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199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194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200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192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193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191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201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202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203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204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195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205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206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207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202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196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191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208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193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192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194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198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209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201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210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208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193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211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192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191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212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210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198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197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202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203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193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208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191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192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211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213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202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203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214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215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209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216</v>
      </c>
      <c r="B58" s="116" t="s">
        <v>217</v>
      </c>
      <c r="C58" s="116" t="s">
        <v>218</v>
      </c>
      <c r="D58" s="117" t="s">
        <v>219</v>
      </c>
      <c r="E58" s="117" t="s">
        <v>220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221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222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223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222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224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222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222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225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223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222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222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222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222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222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222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222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216</v>
      </c>
      <c r="B78" s="116" t="s">
        <v>217</v>
      </c>
      <c r="C78" s="116" t="s">
        <v>218</v>
      </c>
      <c r="D78" s="117" t="s">
        <v>219</v>
      </c>
      <c r="E78" s="117" t="s">
        <v>220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226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227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200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228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229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230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231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231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226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227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200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226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226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232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233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233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232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227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226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227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200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234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227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234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234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2022-11-26T06:32:07Z</dcterms:modified>
</cp:coreProperties>
</file>