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 tabRatio="843" activeTab="9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2.11.2021" sheetId="33" r:id="rId9"/>
    <sheet name="27.10.2022" sheetId="34" r:id="rId10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8" hidden="1">'22.11.2021'!$A$4:$AD$58</definedName>
    <definedName name="_xlnm._FilterDatabase" localSheetId="4" hidden="1">'25.11.2020'!$A$5:$Z$57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'22.11.2021'!$AA:$AA</definedName>
    <definedName name="_xlnm._FilterDatabase" localSheetId="9" hidden="1">'27.10.2022'!$A$4:$AD$58</definedName>
    <definedName name="_xlnm.Print_Area" localSheetId="9">'27.10.2022'!$AA:$AA</definedName>
  </definedNames>
  <calcPr calcId="144525"/>
</workbook>
</file>

<file path=xl/sharedStrings.xml><?xml version="1.0" encoding="utf-8"?>
<sst xmlns="http://schemas.openxmlformats.org/spreadsheetml/2006/main" count="876" uniqueCount="94">
  <si>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</si>
  <si>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</si>
  <si>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</si>
  <si>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</si>
  <si>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</si>
  <si>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</si>
  <si>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</si>
  <si>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</si>
  <si>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</si>
  <si>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</si>
  <si>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</si>
  <si>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</si>
  <si>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</si>
  <si>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</si>
  <si>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</si>
  <si>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</si>
  <si>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</si>
  <si>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</si>
  <si>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</si>
  <si>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</si>
  <si>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</si>
  <si>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</si>
  <si>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</si>
  <si>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</si>
  <si>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</si>
  <si>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</si>
  <si>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</si>
  <si>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</si>
  <si>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</si>
  <si>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</si>
  <si>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</si>
  <si>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</si>
  <si>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</si>
  <si>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</si>
  <si>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</si>
  <si>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</si>
  <si>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</si>
  <si>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</si>
  <si>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</si>
  <si>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</si>
  <si>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</si>
  <si>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</si>
  <si>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</si>
  <si>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</si>
  <si>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</si>
  <si>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</si>
  <si>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</si>
  <si>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</si>
  <si>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</si>
  <si>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</si>
  <si>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</si>
  <si>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</si>
  <si>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</si>
  <si>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</si>
  <si>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</si>
  <si>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</si>
  <si>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</si>
  <si>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</si>
  <si>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</si>
  <si>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</si>
  <si>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</si>
  <si>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</si>
  <si>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</si>
  <si>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</si>
  <si>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</si>
  <si>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</si>
  <si>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</si>
  <si>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</si>
  <si>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</si>
  <si>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</si>
  <si>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</si>
  <si>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</si>
  <si>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</si>
  <si>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</si>
  <si>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</si>
  <si>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</si>
  <si>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</si>
  <si>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</si>
  <si>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</si>
  <si>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</si>
  <si>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</si>
  <si>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</si>
  <si>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</si>
  <si>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</si>
  <si>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</si>
  <si>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</si>
  <si>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</si>
  <si>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</si>
  <si>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</si>
  <si>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</si>
  <si>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</si>
  <si>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</si>
  <si>
    <t>Customer Reconcilation as on 27.10.2022</t>
  </si>
  <si>
    <t>Prepared by : Rukmini DP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</si>
</sst>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(* #,##0_);_(* \(#,##0\);_(* &quot;-&quot;??_);_(@_)"/>
    <numFmt numFmtId="178" formatCode="_ * #,##0_ ;_ * \-#,##0_ ;_ * &quot;-&quot;_ ;_ @_ "/>
    <numFmt numFmtId="179" formatCode="_(* #,##0.00_);_(* \(#,##0.00\);_(* &quot;-&quot;??_);_(@_)"/>
    <numFmt numFmtId="180" formatCode="_ &quot;₹&quot;* #,##0_ ;_ &quot;₹&quot;* \-#,##0_ ;_ &quot;₹&quot;* &quot;-&quot;_ ;_ @_ "/>
  </numFmts>
  <fonts count="32"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b/>
      <sz val="10"/>
      <color indexed="10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1"/>
      <color indexed="8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2"/>
      <name val="Calibri"/>
      <charset val="134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128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0" fontId="11" fillId="0" borderId="0"/>
    <xf numFmtId="176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/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1" fillId="0" borderId="0"/>
    <xf numFmtId="0" fontId="15" fillId="5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1" fillId="0" borderId="0"/>
    <xf numFmtId="0" fontId="19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0" borderId="0"/>
    <xf numFmtId="0" fontId="13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0" borderId="0"/>
    <xf numFmtId="0" fontId="1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7" fontId="3" fillId="0" borderId="0" xfId="2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3" fillId="0" borderId="0" xfId="2" applyNumberFormat="1" applyFont="1" applyFill="1" applyBorder="1" applyAlignment="1">
      <alignment horizontal="center" vertical="center"/>
    </xf>
    <xf numFmtId="177" fontId="3" fillId="0" borderId="0" xfId="2" applyNumberFormat="1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2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77" fontId="7" fillId="0" borderId="0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7" fillId="2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7" fontId="5" fillId="2" borderId="0" xfId="2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77" fontId="1" fillId="0" borderId="0" xfId="2" applyNumberFormat="1" applyFont="1" applyFill="1" applyBorder="1" applyAlignment="1">
      <alignment horizontal="left" vertical="center"/>
    </xf>
    <xf numFmtId="177" fontId="6" fillId="2" borderId="0" xfId="2" applyNumberFormat="1" applyFont="1" applyFill="1" applyBorder="1" applyAlignment="1">
      <alignment horizontal="center" vertical="center" wrapText="1"/>
    </xf>
    <xf numFmtId="177" fontId="2" fillId="0" borderId="0" xfId="2" applyNumberFormat="1" applyFont="1" applyFill="1" applyBorder="1" applyAlignment="1">
      <alignment horizontal="center" vertical="center" wrapText="1"/>
    </xf>
    <xf numFmtId="177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/>
    </xf>
    <xf numFmtId="177" fontId="6" fillId="0" borderId="1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77" fontId="2" fillId="0" borderId="0" xfId="2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77" fontId="10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 wrapText="1"/>
    </xf>
    <xf numFmtId="177" fontId="10" fillId="0" borderId="0" xfId="2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left" vertical="center"/>
    </xf>
    <xf numFmtId="177" fontId="2" fillId="0" borderId="1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left" vertical="center"/>
    </xf>
    <xf numFmtId="177" fontId="2" fillId="0" borderId="0" xfId="2" applyNumberFormat="1" applyFont="1" applyFill="1" applyBorder="1" applyAlignment="1">
      <alignment horizontal="left" vertical="center"/>
    </xf>
    <xf numFmtId="177" fontId="2" fillId="0" borderId="1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left"/>
    </xf>
    <xf numFmtId="177" fontId="2" fillId="0" borderId="1" xfId="2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77" fontId="3" fillId="0" borderId="0" xfId="2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7" fontId="3" fillId="0" borderId="0" xfId="2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7" fontId="2" fillId="0" borderId="0" xfId="2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7" fontId="2" fillId="0" borderId="2" xfId="2" applyNumberFormat="1" applyFont="1" applyFill="1" applyBorder="1" applyAlignment="1">
      <alignment horizontal="center" vertical="center" wrapText="1"/>
    </xf>
    <xf numFmtId="177" fontId="2" fillId="0" borderId="2" xfId="2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177" fontId="10" fillId="0" borderId="2" xfId="2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77" fontId="10" fillId="0" borderId="3" xfId="2" applyNumberFormat="1" applyFont="1" applyFill="1" applyBorder="1" applyAlignment="1">
      <alignment horizontal="center" vertical="center"/>
    </xf>
    <xf numFmtId="177" fontId="3" fillId="0" borderId="3" xfId="2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left" vertical="center"/>
    </xf>
    <xf numFmtId="177" fontId="1" fillId="0" borderId="0" xfId="2" applyNumberFormat="1" applyFont="1" applyFill="1" applyAlignment="1">
      <alignment horizontal="left" vertical="center"/>
    </xf>
    <xf numFmtId="177" fontId="10" fillId="0" borderId="2" xfId="2" applyNumberFormat="1" applyFont="1" applyFill="1" applyBorder="1" applyAlignment="1">
      <alignment horizontal="left"/>
    </xf>
  </cellXfs>
  <cellStyles count="128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Normal 13 6" xfId="5"/>
    <cellStyle name="Currency" xfId="6" builtinId="4"/>
    <cellStyle name="Normal 10 3" xfId="7"/>
    <cellStyle name="Percent" xfId="8" builtinId="5"/>
    <cellStyle name="Hyperlink" xfId="9" builtinId="8"/>
    <cellStyle name="Normal 7 2" xfId="10"/>
    <cellStyle name="60% - Accent4" xfId="11" builtinId="44"/>
    <cellStyle name="Followed Hyperlink" xfId="12" builtinId="9"/>
    <cellStyle name="Check Cell" xfId="13" builtinId="23"/>
    <cellStyle name="Heading 2" xfId="14" builtinId="17"/>
    <cellStyle name="Note" xfId="15" builtinId="10"/>
    <cellStyle name="40% - Accent3" xfId="16" builtinId="39"/>
    <cellStyle name="Warning Text" xfId="17" builtinId="11"/>
    <cellStyle name="Title" xfId="18" builtinId="15"/>
    <cellStyle name="Normal 6 3" xfId="19"/>
    <cellStyle name="40% - Accent2" xfId="20" builtinId="35"/>
    <cellStyle name="CExplanatory Text" xfId="21" builtinId="53"/>
    <cellStyle name="Heading 1" xfId="22" builtinId="16"/>
    <cellStyle name="Heading 3" xfId="23" builtinId="18"/>
    <cellStyle name="Normal 10 2" xfId="24"/>
    <cellStyle name="Heading 4" xfId="25" builtinId="19"/>
    <cellStyle name="Normal 10 6" xfId="26"/>
    <cellStyle name="Input" xfId="27" builtinId="20"/>
    <cellStyle name="60% - Accent3" xfId="28" builtinId="40"/>
    <cellStyle name="Good" xfId="29" builtinId="26"/>
    <cellStyle name="Output" xfId="30" builtinId="21"/>
    <cellStyle name="Calculation" xfId="31" builtinId="22"/>
    <cellStyle name="Normal 12 3" xfId="32"/>
    <cellStyle name="20% - Accent1" xfId="33" builtinId="30"/>
    <cellStyle name="Normal 11 4" xfId="34"/>
    <cellStyle name="Linked Cell" xfId="35" builtinId="24"/>
    <cellStyle name="Total" xfId="36" builtinId="25"/>
    <cellStyle name="Bad" xfId="37" builtinId="27"/>
    <cellStyle name="Neutral" xfId="38" builtinId="28"/>
    <cellStyle name="Normal 8 6" xfId="39"/>
    <cellStyle name="Accent1" xfId="40" builtinId="29"/>
    <cellStyle name="20% - Accent5" xfId="41" builtinId="46"/>
    <cellStyle name="60% - Accent1" xfId="42" builtinId="32"/>
    <cellStyle name="Accent2" xfId="43" builtinId="33"/>
    <cellStyle name="20% - Accent2" xfId="44" builtinId="34"/>
    <cellStyle name="20% - Accent6" xfId="45" builtinId="50"/>
    <cellStyle name="60% - Accent2" xfId="46" builtinId="36"/>
    <cellStyle name="Accent3" xfId="47" builtinId="37"/>
    <cellStyle name="20% - Accent3" xfId="48" builtinId="38"/>
    <cellStyle name="Accent4" xfId="49" builtinId="41"/>
    <cellStyle name="20% - Accent4" xfId="50" builtinId="42"/>
    <cellStyle name="40% - Accent4" xfId="51" builtinId="43"/>
    <cellStyle name="Accent5" xfId="52" builtinId="45"/>
    <cellStyle name="Normal 11 2" xfId="53"/>
    <cellStyle name="40% - Accent5" xfId="54" builtinId="47"/>
    <cellStyle name="60% - Accent5" xfId="55" builtinId="48"/>
    <cellStyle name="Accent6" xfId="56" builtinId="49"/>
    <cellStyle name="Normal 11 3" xfId="57"/>
    <cellStyle name="40% - Accent6" xfId="58" builtinId="51"/>
    <cellStyle name="60% - Accent6" xfId="59" builtinId="52"/>
    <cellStyle name="Normal 10" xfId="60"/>
    <cellStyle name="Normal 10 4" xfId="61"/>
    <cellStyle name="Normal 10 5" xfId="62"/>
    <cellStyle name="Normal 11" xfId="63"/>
    <cellStyle name="Normal 11 5" xfId="64"/>
    <cellStyle name="Normal 11 6" xfId="65"/>
    <cellStyle name="Normal 12" xfId="66"/>
    <cellStyle name="Normal 12 2" xfId="67"/>
    <cellStyle name="Normal 12 4" xfId="68"/>
    <cellStyle name="Normal 12 5" xfId="69"/>
    <cellStyle name="Normal 12 6" xfId="70"/>
    <cellStyle name="Normal 13" xfId="71"/>
    <cellStyle name="Normal 13 2" xfId="72"/>
    <cellStyle name="Normal 13 3" xfId="73"/>
    <cellStyle name="Normal 13 4" xfId="74"/>
    <cellStyle name="Normal 13 5" xfId="75"/>
    <cellStyle name="Normal 14" xfId="76"/>
    <cellStyle name="Normal 14 2" xfId="77"/>
    <cellStyle name="Normal 15" xfId="78"/>
    <cellStyle name="Normal 20" xfId="79"/>
    <cellStyle name="Normal 15 2" xfId="80"/>
    <cellStyle name="Normal 17" xfId="81"/>
    <cellStyle name="Normal 22" xfId="82"/>
    <cellStyle name="Normal 17 2" xfId="83"/>
    <cellStyle name="Normal 18" xfId="84"/>
    <cellStyle name="Normal 18 2" xfId="85"/>
    <cellStyle name="Normal 19" xfId="86"/>
    <cellStyle name="Normal 2 2" xfId="87"/>
    <cellStyle name="Normal 2 3" xfId="88"/>
    <cellStyle name="Normal 2 4" xfId="89"/>
    <cellStyle name="Normal 2 5" xfId="90"/>
    <cellStyle name="Normal 2 6" xfId="91"/>
    <cellStyle name="Normal 2 7" xfId="92"/>
    <cellStyle name="Normal 21" xfId="93"/>
    <cellStyle name="Normal 3 2" xfId="94"/>
    <cellStyle name="Normal 3 3" xfId="95"/>
    <cellStyle name="Normal 3 4" xfId="96"/>
    <cellStyle name="Normal 3 5" xfId="97"/>
    <cellStyle name="Normal 3 6" xfId="98"/>
    <cellStyle name="Normal 4 2" xfId="99"/>
    <cellStyle name="Normal 4 3" xfId="100"/>
    <cellStyle name="Normal 4 4" xfId="101"/>
    <cellStyle name="Normal 4 5" xfId="102"/>
    <cellStyle name="Normal 4 6" xfId="103"/>
    <cellStyle name="Normal 5" xfId="104"/>
    <cellStyle name="Normal 6" xfId="105"/>
    <cellStyle name="Normal 6 2" xfId="106"/>
    <cellStyle name="Normal 6 4" xfId="107"/>
    <cellStyle name="Normal 6 5" xfId="108"/>
    <cellStyle name="Normal 6 6" xfId="109"/>
    <cellStyle name="Normal 6 7" xfId="110"/>
    <cellStyle name="Normal 7" xfId="111"/>
    <cellStyle name="Normal 7 3" xfId="112"/>
    <cellStyle name="Normal 7 4" xfId="113"/>
    <cellStyle name="Normal 7 5" xfId="114"/>
    <cellStyle name="Normal 7 6" xfId="115"/>
    <cellStyle name="Normal 7 7" xfId="116"/>
    <cellStyle name="Normal 8" xfId="117"/>
    <cellStyle name="Normal 8 2" xfId="118"/>
    <cellStyle name="Normal 8 3" xfId="119"/>
    <cellStyle name="Normal 8 4" xfId="120"/>
    <cellStyle name="Normal 8 5" xfId="121"/>
    <cellStyle name="Normal 9" xfId="122"/>
    <cellStyle name="Normal 9 2" xfId="123"/>
    <cellStyle name="Normal 9 3" xfId="124"/>
    <cellStyle name="Normal 9 4" xfId="125"/>
    <cellStyle name="Normal 9 5" xfId="126"/>
    <cellStyle name="Normal 9 6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zoomScale="90" zoomScaleNormal="90" workbookViewId="0">
      <pane ySplit="5" topLeftCell="A6" activePane="bottomLeft" state="frozen"/>
      <selection/>
      <selection pane="bottomLeft" activeCell="A3" sqref="A3"/>
    </sheetView>
  </sheetViews>
  <sheetFormatPr defaultColWidth="9.13888888888889" defaultRowHeight="15.95" customHeight="1"/>
  <cols>
    <col min="1" max="1" width="4.85185185185185" style="72" customWidth="1"/>
    <col min="2" max="2" width="30.1388888888889" style="72" customWidth="1"/>
    <col min="3" max="3" width="5" style="73" customWidth="1"/>
    <col min="4" max="4" width="13.4259259259259" style="74" customWidth="1"/>
    <col min="5" max="5" width="10.712962962963" style="71" hidden="1" customWidth="1"/>
    <col min="6" max="9" width="11.4259259259259" style="71" hidden="1" customWidth="1"/>
    <col min="10" max="10" width="11.1388888888889" style="71" hidden="1" customWidth="1"/>
    <col min="11" max="12" width="11.4259259259259" style="71" customWidth="1"/>
    <col min="13" max="13" width="11" style="4" hidden="1" customWidth="1"/>
    <col min="14" max="15" width="11" style="4" customWidth="1"/>
    <col min="16" max="16" width="11.8518518518519" style="71" customWidth="1"/>
    <col min="17" max="17" width="14.712962962963" style="71" customWidth="1"/>
    <col min="18" max="18" width="13.5740740740741" style="71" customWidth="1"/>
    <col min="19" max="19" width="12.4259259259259" style="71" customWidth="1"/>
    <col min="20" max="16384" width="9.13888888888889" style="72"/>
  </cols>
  <sheetData>
    <row r="1" s="69" customFormat="1" customHeight="1" spans="1:19">
      <c r="A1" s="75" t="s">
        <v>0</v>
      </c>
      <c r="B1" s="75"/>
      <c r="C1" s="75"/>
      <c r="D1" s="75"/>
      <c r="E1" s="75"/>
      <c r="F1" s="75"/>
      <c r="G1" s="76"/>
      <c r="H1" s="76"/>
      <c r="I1" s="76"/>
      <c r="J1" s="76"/>
      <c r="K1" s="76"/>
      <c r="L1" s="76"/>
      <c r="M1" s="1"/>
      <c r="N1" s="39"/>
      <c r="O1" s="39"/>
      <c r="P1" s="76"/>
      <c r="Q1" s="76"/>
      <c r="R1" s="76"/>
      <c r="S1" s="92"/>
    </row>
    <row r="2" s="69" customFormat="1" customHeight="1" spans="1:19">
      <c r="A2" s="75" t="s">
        <v>1</v>
      </c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1"/>
      <c r="N2" s="39"/>
      <c r="O2" s="39"/>
      <c r="P2" s="76"/>
      <c r="Q2" s="76"/>
      <c r="R2" s="76"/>
      <c r="S2" s="92"/>
    </row>
    <row r="3" s="69" customFormat="1" customHeight="1" spans="1:19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39"/>
      <c r="O3" s="39"/>
      <c r="P3" s="76"/>
      <c r="Q3" s="76"/>
      <c r="R3" s="76"/>
      <c r="S3" s="92"/>
    </row>
    <row r="4" customHeight="1" spans="1:19">
      <c r="A4" s="77"/>
      <c r="B4" s="77"/>
      <c r="C4" s="77"/>
      <c r="D4" s="78"/>
      <c r="E4" s="77"/>
      <c r="F4" s="77"/>
      <c r="G4" s="77"/>
      <c r="H4" s="77"/>
      <c r="I4" s="77"/>
      <c r="J4" s="77"/>
      <c r="K4" s="77"/>
      <c r="L4" s="77"/>
      <c r="M4" s="40"/>
      <c r="N4" s="40"/>
      <c r="O4" s="40"/>
      <c r="P4" s="72"/>
      <c r="S4" s="77"/>
    </row>
    <row r="5" s="70" customFormat="1" ht="53.25" customHeight="1" spans="1:19">
      <c r="A5" s="79" t="s">
        <v>3</v>
      </c>
      <c r="B5" s="79" t="s">
        <v>4</v>
      </c>
      <c r="C5" s="80" t="s">
        <v>5</v>
      </c>
      <c r="D5" s="81" t="s">
        <v>6</v>
      </c>
      <c r="E5" s="82" t="s">
        <v>7</v>
      </c>
      <c r="F5" s="82" t="s">
        <v>8</v>
      </c>
      <c r="G5" s="82" t="s">
        <v>9</v>
      </c>
      <c r="H5" s="82" t="s">
        <v>10</v>
      </c>
      <c r="I5" s="82" t="s">
        <v>11</v>
      </c>
      <c r="J5" s="82" t="s">
        <v>12</v>
      </c>
      <c r="K5" s="82" t="s">
        <v>13</v>
      </c>
      <c r="L5" s="82" t="s">
        <v>14</v>
      </c>
      <c r="M5" s="82" t="s">
        <v>15</v>
      </c>
      <c r="N5" s="82" t="s">
        <v>16</v>
      </c>
      <c r="O5" s="82" t="s">
        <v>17</v>
      </c>
      <c r="P5" s="82" t="s">
        <v>18</v>
      </c>
      <c r="Q5" s="82" t="s">
        <v>19</v>
      </c>
      <c r="R5" s="82" t="s">
        <v>20</v>
      </c>
      <c r="S5" s="82" t="s">
        <v>21</v>
      </c>
    </row>
    <row r="6" customHeight="1" spans="1:19">
      <c r="A6" s="83">
        <v>1</v>
      </c>
      <c r="B6" s="83" t="s">
        <v>22</v>
      </c>
      <c r="C6" s="83">
        <v>6</v>
      </c>
      <c r="D6" s="84">
        <v>4500000</v>
      </c>
      <c r="E6" s="85">
        <v>225000</v>
      </c>
      <c r="F6" s="85">
        <v>75000</v>
      </c>
      <c r="G6" s="85">
        <v>0</v>
      </c>
      <c r="H6" s="85">
        <f>2600000+600000+800000</f>
        <v>4000000</v>
      </c>
      <c r="I6" s="85">
        <v>1920000</v>
      </c>
      <c r="J6" s="85"/>
      <c r="K6" s="85">
        <f>690000+847500</f>
        <v>1537500</v>
      </c>
      <c r="L6" s="85">
        <v>0</v>
      </c>
      <c r="M6" s="85">
        <f t="shared" ref="M6:O21" si="0">J6*18%</f>
        <v>0</v>
      </c>
      <c r="N6" s="91">
        <f t="shared" si="0"/>
        <v>276750</v>
      </c>
      <c r="O6" s="91">
        <f t="shared" si="0"/>
        <v>0</v>
      </c>
      <c r="P6" s="85">
        <v>0</v>
      </c>
      <c r="Q6" s="85">
        <f>E6+F6+G6+H6</f>
        <v>4300000</v>
      </c>
      <c r="R6" s="85">
        <f t="shared" ref="R6:R57" si="1">Q6-I6-J6-K6-P6-M6-N6-L6-O6</f>
        <v>565750</v>
      </c>
      <c r="S6" s="93">
        <f t="shared" ref="S6:S35" si="2">D6+M6+N6+P6+O6-Q6</f>
        <v>476750</v>
      </c>
    </row>
    <row r="7" customHeight="1" spans="1:19">
      <c r="A7" s="83">
        <v>2</v>
      </c>
      <c r="B7" s="83" t="s">
        <v>23</v>
      </c>
      <c r="C7" s="83">
        <v>16</v>
      </c>
      <c r="D7" s="84">
        <v>4144000</v>
      </c>
      <c r="E7" s="85">
        <v>0</v>
      </c>
      <c r="F7" s="85">
        <v>0</v>
      </c>
      <c r="G7" s="85">
        <f>225000</f>
        <v>225000</v>
      </c>
      <c r="H7" s="85">
        <f>891600+976440</f>
        <v>1868040</v>
      </c>
      <c r="I7" s="85"/>
      <c r="J7" s="85"/>
      <c r="K7" s="85">
        <v>0</v>
      </c>
      <c r="L7" s="85">
        <f>1386000-450000</f>
        <v>936000</v>
      </c>
      <c r="M7" s="85">
        <f t="shared" si="0"/>
        <v>0</v>
      </c>
      <c r="N7" s="91">
        <f t="shared" si="0"/>
        <v>0</v>
      </c>
      <c r="O7" s="91">
        <f t="shared" si="0"/>
        <v>168480</v>
      </c>
      <c r="P7" s="85">
        <v>0</v>
      </c>
      <c r="Q7" s="85">
        <f t="shared" ref="Q7:Q57" si="3">E7+F7+G7+H7</f>
        <v>2093040</v>
      </c>
      <c r="R7" s="85">
        <f t="shared" si="1"/>
        <v>988560</v>
      </c>
      <c r="S7" s="93">
        <f t="shared" si="2"/>
        <v>2219440</v>
      </c>
    </row>
    <row r="8" customHeight="1" spans="1:19">
      <c r="A8" s="83">
        <v>3</v>
      </c>
      <c r="B8" s="83" t="s">
        <v>24</v>
      </c>
      <c r="C8" s="83">
        <v>19</v>
      </c>
      <c r="D8" s="84">
        <v>4500000</v>
      </c>
      <c r="E8" s="85"/>
      <c r="F8" s="85"/>
      <c r="G8" s="85"/>
      <c r="H8" s="85">
        <v>4500000</v>
      </c>
      <c r="I8" s="85"/>
      <c r="J8" s="85"/>
      <c r="K8" s="85"/>
      <c r="L8" s="85">
        <f>512500-512500</f>
        <v>0</v>
      </c>
      <c r="M8" s="85">
        <f t="shared" si="0"/>
        <v>0</v>
      </c>
      <c r="N8" s="91">
        <f t="shared" si="0"/>
        <v>0</v>
      </c>
      <c r="O8" s="91">
        <f t="shared" si="0"/>
        <v>0</v>
      </c>
      <c r="P8" s="85"/>
      <c r="Q8" s="85">
        <f t="shared" si="3"/>
        <v>4500000</v>
      </c>
      <c r="R8" s="85">
        <f t="shared" si="1"/>
        <v>4500000</v>
      </c>
      <c r="S8" s="93">
        <f t="shared" si="2"/>
        <v>0</v>
      </c>
    </row>
    <row r="9" customHeight="1" spans="1:19">
      <c r="A9" s="83">
        <v>4</v>
      </c>
      <c r="B9" s="83" t="s">
        <v>25</v>
      </c>
      <c r="C9" s="83">
        <v>19</v>
      </c>
      <c r="D9" s="84">
        <v>4500000</v>
      </c>
      <c r="E9" s="85"/>
      <c r="F9" s="85"/>
      <c r="G9" s="85"/>
      <c r="H9" s="85">
        <v>0</v>
      </c>
      <c r="I9" s="85">
        <v>0</v>
      </c>
      <c r="J9" s="85"/>
      <c r="K9" s="85"/>
      <c r="L9" s="85">
        <v>512500</v>
      </c>
      <c r="M9" s="85">
        <f t="shared" si="0"/>
        <v>0</v>
      </c>
      <c r="N9" s="91">
        <f t="shared" si="0"/>
        <v>0</v>
      </c>
      <c r="O9" s="91">
        <f t="shared" si="0"/>
        <v>92250</v>
      </c>
      <c r="P9" s="85">
        <v>0</v>
      </c>
      <c r="Q9" s="85">
        <f t="shared" si="3"/>
        <v>0</v>
      </c>
      <c r="R9" s="85">
        <f t="shared" si="1"/>
        <v>-604750</v>
      </c>
      <c r="S9" s="93">
        <f t="shared" si="2"/>
        <v>4592250</v>
      </c>
    </row>
    <row r="10" customHeight="1" spans="1:19">
      <c r="A10" s="83">
        <v>5</v>
      </c>
      <c r="B10" s="83" t="s">
        <v>26</v>
      </c>
      <c r="C10" s="83">
        <v>21</v>
      </c>
      <c r="D10" s="84">
        <v>3600000</v>
      </c>
      <c r="E10" s="85">
        <f>25000+150000</f>
        <v>175000</v>
      </c>
      <c r="F10" s="85">
        <f>100000+180000+40000+200000+105000+200000+1200000</f>
        <v>2025000</v>
      </c>
      <c r="G10" s="85">
        <f>200000+150000+300000</f>
        <v>650000</v>
      </c>
      <c r="H10" s="85">
        <f>126000+550000</f>
        <v>676000</v>
      </c>
      <c r="I10" s="85">
        <v>1800000</v>
      </c>
      <c r="J10" s="85">
        <v>1073000</v>
      </c>
      <c r="K10" s="85">
        <v>127000</v>
      </c>
      <c r="L10" s="85">
        <v>0</v>
      </c>
      <c r="M10" s="85">
        <f t="shared" si="0"/>
        <v>193140</v>
      </c>
      <c r="N10" s="91">
        <f t="shared" si="0"/>
        <v>22860</v>
      </c>
      <c r="O10" s="91">
        <f t="shared" si="0"/>
        <v>0</v>
      </c>
      <c r="P10" s="85">
        <f>10620+9204</f>
        <v>19824</v>
      </c>
      <c r="Q10" s="85">
        <f t="shared" si="3"/>
        <v>3526000</v>
      </c>
      <c r="R10" s="85">
        <f t="shared" si="1"/>
        <v>290176</v>
      </c>
      <c r="S10" s="93">
        <f t="shared" si="2"/>
        <v>309824</v>
      </c>
    </row>
    <row r="11" customHeight="1" spans="1:19">
      <c r="A11" s="83">
        <v>6</v>
      </c>
      <c r="B11" s="83" t="s">
        <v>27</v>
      </c>
      <c r="C11" s="83">
        <v>22</v>
      </c>
      <c r="D11" s="84">
        <v>3600000</v>
      </c>
      <c r="E11" s="85">
        <f>25000+200000</f>
        <v>225000</v>
      </c>
      <c r="F11" s="85">
        <f>250000+200000</f>
        <v>450000</v>
      </c>
      <c r="G11" s="85">
        <f>460000+2400000</f>
        <v>2860000</v>
      </c>
      <c r="H11" s="85">
        <f>480000+101263</f>
        <v>581263</v>
      </c>
      <c r="I11" s="85">
        <v>1800000</v>
      </c>
      <c r="J11" s="85">
        <v>1073000</v>
      </c>
      <c r="K11" s="85">
        <v>127000</v>
      </c>
      <c r="L11" s="85">
        <v>600000</v>
      </c>
      <c r="M11" s="85">
        <f t="shared" si="0"/>
        <v>193140</v>
      </c>
      <c r="N11" s="91">
        <f t="shared" si="0"/>
        <v>22860</v>
      </c>
      <c r="O11" s="91">
        <f t="shared" si="0"/>
        <v>108000</v>
      </c>
      <c r="P11" s="85">
        <f>1800+133850+390+30000+50+16709</f>
        <v>182799</v>
      </c>
      <c r="Q11" s="85">
        <f t="shared" si="3"/>
        <v>4116263</v>
      </c>
      <c r="R11" s="85">
        <f t="shared" si="1"/>
        <v>9464</v>
      </c>
      <c r="S11" s="93">
        <f t="shared" si="2"/>
        <v>-9464</v>
      </c>
    </row>
    <row r="12" customHeight="1" spans="1:19">
      <c r="A12" s="83">
        <v>7</v>
      </c>
      <c r="B12" s="83" t="s">
        <v>24</v>
      </c>
      <c r="C12" s="83">
        <v>25</v>
      </c>
      <c r="D12" s="84">
        <v>4500000</v>
      </c>
      <c r="E12" s="85"/>
      <c r="F12" s="85"/>
      <c r="G12" s="85"/>
      <c r="H12" s="85">
        <v>4500000</v>
      </c>
      <c r="I12" s="85"/>
      <c r="J12" s="85"/>
      <c r="K12" s="85"/>
      <c r="L12" s="85">
        <f>512500-512500</f>
        <v>0</v>
      </c>
      <c r="M12" s="85">
        <f t="shared" si="0"/>
        <v>0</v>
      </c>
      <c r="N12" s="91">
        <f t="shared" si="0"/>
        <v>0</v>
      </c>
      <c r="O12" s="91">
        <f t="shared" si="0"/>
        <v>0</v>
      </c>
      <c r="P12" s="85"/>
      <c r="Q12" s="85">
        <f t="shared" si="3"/>
        <v>4500000</v>
      </c>
      <c r="R12" s="85">
        <f t="shared" si="1"/>
        <v>4500000</v>
      </c>
      <c r="S12" s="93">
        <f t="shared" si="2"/>
        <v>0</v>
      </c>
    </row>
    <row r="13" customHeight="1" spans="1:19">
      <c r="A13" s="83">
        <v>7</v>
      </c>
      <c r="B13" s="83" t="s">
        <v>25</v>
      </c>
      <c r="C13" s="83">
        <v>25</v>
      </c>
      <c r="D13" s="84">
        <v>4500000</v>
      </c>
      <c r="E13" s="85"/>
      <c r="F13" s="85"/>
      <c r="G13" s="85"/>
      <c r="H13" s="85">
        <v>0</v>
      </c>
      <c r="I13" s="85"/>
      <c r="J13" s="85"/>
      <c r="K13" s="85"/>
      <c r="L13" s="85">
        <v>512500</v>
      </c>
      <c r="M13" s="85">
        <f t="shared" si="0"/>
        <v>0</v>
      </c>
      <c r="N13" s="91">
        <f t="shared" si="0"/>
        <v>0</v>
      </c>
      <c r="O13" s="91">
        <f t="shared" si="0"/>
        <v>92250</v>
      </c>
      <c r="P13" s="85"/>
      <c r="Q13" s="85">
        <f t="shared" si="3"/>
        <v>0</v>
      </c>
      <c r="R13" s="85">
        <f t="shared" si="1"/>
        <v>-604750</v>
      </c>
      <c r="S13" s="93">
        <f t="shared" si="2"/>
        <v>4592250</v>
      </c>
    </row>
    <row r="14" customHeight="1" spans="1:19">
      <c r="A14" s="83">
        <v>8</v>
      </c>
      <c r="B14" s="83" t="s">
        <v>28</v>
      </c>
      <c r="C14" s="83">
        <v>29</v>
      </c>
      <c r="D14" s="84">
        <v>4200000</v>
      </c>
      <c r="E14" s="85">
        <v>0</v>
      </c>
      <c r="F14" s="85">
        <v>0</v>
      </c>
      <c r="G14" s="85">
        <f>225000+630000+943500</f>
        <v>1798500</v>
      </c>
      <c r="H14" s="85">
        <f>943500+629000</f>
        <v>1572500</v>
      </c>
      <c r="I14" s="85"/>
      <c r="J14" s="85"/>
      <c r="K14" s="85">
        <f>950000</f>
        <v>950000</v>
      </c>
      <c r="L14" s="85">
        <v>475000</v>
      </c>
      <c r="M14" s="85">
        <f t="shared" si="0"/>
        <v>0</v>
      </c>
      <c r="N14" s="91">
        <f t="shared" si="0"/>
        <v>171000</v>
      </c>
      <c r="O14" s="91">
        <f t="shared" si="0"/>
        <v>85500</v>
      </c>
      <c r="P14" s="85">
        <v>0</v>
      </c>
      <c r="Q14" s="85">
        <f t="shared" si="3"/>
        <v>3371000</v>
      </c>
      <c r="R14" s="85">
        <f t="shared" si="1"/>
        <v>1689500</v>
      </c>
      <c r="S14" s="93">
        <f t="shared" si="2"/>
        <v>1085500</v>
      </c>
    </row>
    <row r="15" customHeight="1" spans="1:19">
      <c r="A15" s="83">
        <v>9</v>
      </c>
      <c r="B15" s="83" t="s">
        <v>29</v>
      </c>
      <c r="C15" s="83">
        <v>30</v>
      </c>
      <c r="D15" s="84">
        <v>3700000</v>
      </c>
      <c r="E15" s="85">
        <f>25000+200000</f>
        <v>225000</v>
      </c>
      <c r="F15" s="85">
        <f>400000+155000+816000+816000</f>
        <v>2187000</v>
      </c>
      <c r="G15" s="85">
        <v>0</v>
      </c>
      <c r="H15" s="85">
        <f>544000+544000</f>
        <v>1088000</v>
      </c>
      <c r="I15" s="85">
        <v>1596000</v>
      </c>
      <c r="J15" s="85"/>
      <c r="K15" s="85">
        <f>562000+263000+412500</f>
        <v>1237500</v>
      </c>
      <c r="L15" s="85">
        <v>0</v>
      </c>
      <c r="M15" s="85">
        <f t="shared" si="0"/>
        <v>0</v>
      </c>
      <c r="N15" s="91">
        <f t="shared" si="0"/>
        <v>222750</v>
      </c>
      <c r="O15" s="91">
        <f t="shared" si="0"/>
        <v>0</v>
      </c>
      <c r="P15" s="85">
        <v>9204</v>
      </c>
      <c r="Q15" s="85">
        <f t="shared" si="3"/>
        <v>3500000</v>
      </c>
      <c r="R15" s="85">
        <f t="shared" si="1"/>
        <v>434546</v>
      </c>
      <c r="S15" s="93">
        <f t="shared" si="2"/>
        <v>431954</v>
      </c>
    </row>
    <row r="16" customHeight="1" spans="1:19">
      <c r="A16" s="83">
        <v>10</v>
      </c>
      <c r="B16" s="83" t="s">
        <v>30</v>
      </c>
      <c r="C16" s="83">
        <v>31</v>
      </c>
      <c r="D16" s="84">
        <v>4200000</v>
      </c>
      <c r="E16" s="85">
        <v>0</v>
      </c>
      <c r="F16" s="85">
        <v>0</v>
      </c>
      <c r="G16" s="85">
        <f>225000</f>
        <v>225000</v>
      </c>
      <c r="H16" s="85">
        <f>630000+2496000</f>
        <v>3126000</v>
      </c>
      <c r="I16" s="85"/>
      <c r="J16" s="85"/>
      <c r="K16" s="85">
        <f>475000+475000</f>
        <v>950000</v>
      </c>
      <c r="L16" s="85">
        <v>475000</v>
      </c>
      <c r="M16" s="85">
        <f t="shared" si="0"/>
        <v>0</v>
      </c>
      <c r="N16" s="91">
        <f t="shared" si="0"/>
        <v>171000</v>
      </c>
      <c r="O16" s="91">
        <f t="shared" si="0"/>
        <v>85500</v>
      </c>
      <c r="P16" s="85">
        <v>0</v>
      </c>
      <c r="Q16" s="85">
        <f t="shared" si="3"/>
        <v>3351000</v>
      </c>
      <c r="R16" s="85">
        <f t="shared" si="1"/>
        <v>1669500</v>
      </c>
      <c r="S16" s="93">
        <f t="shared" si="2"/>
        <v>1105500</v>
      </c>
    </row>
    <row r="17" customHeight="1" spans="1:19">
      <c r="A17" s="83">
        <v>11</v>
      </c>
      <c r="B17" s="83" t="s">
        <v>31</v>
      </c>
      <c r="C17" s="83">
        <v>32</v>
      </c>
      <c r="D17" s="84">
        <v>5325000</v>
      </c>
      <c r="E17" s="85">
        <f>25000+200000</f>
        <v>225000</v>
      </c>
      <c r="F17" s="85">
        <f>300000+480000</f>
        <v>780000</v>
      </c>
      <c r="G17" s="85">
        <f>1080000+108816+250000+250000+673625+2662500</f>
        <v>5024941</v>
      </c>
      <c r="H17" s="85">
        <v>0</v>
      </c>
      <c r="I17" s="85">
        <v>2662500</v>
      </c>
      <c r="J17" s="85">
        <v>1642250</v>
      </c>
      <c r="K17" s="85">
        <v>204625</v>
      </c>
      <c r="L17" s="85">
        <v>0</v>
      </c>
      <c r="M17" s="85">
        <f t="shared" si="0"/>
        <v>295605</v>
      </c>
      <c r="N17" s="91">
        <f t="shared" si="0"/>
        <v>36832.5</v>
      </c>
      <c r="O17" s="91">
        <f t="shared" si="0"/>
        <v>0</v>
      </c>
      <c r="P17" s="85">
        <v>196897</v>
      </c>
      <c r="Q17" s="85">
        <f t="shared" si="3"/>
        <v>6029941</v>
      </c>
      <c r="R17" s="85">
        <f t="shared" si="1"/>
        <v>991231.5</v>
      </c>
      <c r="S17" s="93">
        <f t="shared" si="2"/>
        <v>-175606.5</v>
      </c>
    </row>
    <row r="18" customHeight="1" spans="1:19">
      <c r="A18" s="83">
        <v>12</v>
      </c>
      <c r="B18" s="83" t="s">
        <v>32</v>
      </c>
      <c r="C18" s="83">
        <v>33</v>
      </c>
      <c r="D18" s="84">
        <v>4250000</v>
      </c>
      <c r="E18" s="85">
        <v>0</v>
      </c>
      <c r="F18" s="85">
        <v>0</v>
      </c>
      <c r="G18" s="85">
        <f>250000</f>
        <v>250000</v>
      </c>
      <c r="H18" s="85">
        <f>605000+956250+1356554+637500</f>
        <v>3555304</v>
      </c>
      <c r="I18" s="85">
        <v>0</v>
      </c>
      <c r="J18" s="85"/>
      <c r="K18" s="85">
        <v>0</v>
      </c>
      <c r="L18" s="85">
        <f>481250+481250+481250</f>
        <v>1443750</v>
      </c>
      <c r="M18" s="85">
        <f t="shared" si="0"/>
        <v>0</v>
      </c>
      <c r="N18" s="91">
        <f t="shared" si="0"/>
        <v>0</v>
      </c>
      <c r="O18" s="91">
        <f t="shared" si="0"/>
        <v>259875</v>
      </c>
      <c r="P18" s="85">
        <v>9204</v>
      </c>
      <c r="Q18" s="85">
        <f t="shared" si="3"/>
        <v>3805304</v>
      </c>
      <c r="R18" s="85">
        <f t="shared" si="1"/>
        <v>2092475</v>
      </c>
      <c r="S18" s="93">
        <f t="shared" si="2"/>
        <v>713775</v>
      </c>
    </row>
    <row r="19" customHeight="1" spans="1:19">
      <c r="A19" s="83">
        <v>13</v>
      </c>
      <c r="B19" s="83" t="s">
        <v>33</v>
      </c>
      <c r="C19" s="83">
        <v>34</v>
      </c>
      <c r="D19" s="84">
        <v>3750000</v>
      </c>
      <c r="E19" s="85">
        <f>250000+250000+200000</f>
        <v>700000</v>
      </c>
      <c r="F19" s="85">
        <v>0</v>
      </c>
      <c r="G19" s="85">
        <v>0</v>
      </c>
      <c r="H19" s="85">
        <f>917000+828000+527500</f>
        <v>2272500</v>
      </c>
      <c r="I19" s="85">
        <v>787500</v>
      </c>
      <c r="J19" s="85"/>
      <c r="K19" s="85"/>
      <c r="L19" s="85">
        <f>481250+481250+481250-187500</f>
        <v>1256250</v>
      </c>
      <c r="M19" s="85">
        <f t="shared" si="0"/>
        <v>0</v>
      </c>
      <c r="N19" s="91">
        <f t="shared" si="0"/>
        <v>0</v>
      </c>
      <c r="O19" s="91">
        <f t="shared" si="0"/>
        <v>226125</v>
      </c>
      <c r="P19" s="85">
        <v>0</v>
      </c>
      <c r="Q19" s="85">
        <f t="shared" si="3"/>
        <v>2972500</v>
      </c>
      <c r="R19" s="85">
        <f t="shared" si="1"/>
        <v>702625</v>
      </c>
      <c r="S19" s="93">
        <f t="shared" si="2"/>
        <v>1003625</v>
      </c>
    </row>
    <row r="20" customHeight="1" spans="1:19">
      <c r="A20" s="83">
        <v>14</v>
      </c>
      <c r="B20" s="83" t="s">
        <v>34</v>
      </c>
      <c r="C20" s="83">
        <v>35</v>
      </c>
      <c r="D20" s="84">
        <v>3700000</v>
      </c>
      <c r="E20" s="85">
        <f>25000+200000</f>
        <v>225000</v>
      </c>
      <c r="F20" s="85">
        <f>275000+1912000</f>
        <v>2187000</v>
      </c>
      <c r="G20" s="85">
        <v>544000</v>
      </c>
      <c r="H20" s="85">
        <f>284000+250000</f>
        <v>534000</v>
      </c>
      <c r="I20" s="85">
        <v>1850000</v>
      </c>
      <c r="J20" s="85">
        <v>1106000</v>
      </c>
      <c r="K20" s="85">
        <f>53437+78063</f>
        <v>131500</v>
      </c>
      <c r="L20" s="85">
        <v>0</v>
      </c>
      <c r="M20" s="85">
        <f t="shared" si="0"/>
        <v>199080</v>
      </c>
      <c r="N20" s="91">
        <f t="shared" si="0"/>
        <v>23670</v>
      </c>
      <c r="O20" s="91">
        <f t="shared" si="0"/>
        <v>0</v>
      </c>
      <c r="P20" s="85">
        <v>9204</v>
      </c>
      <c r="Q20" s="85">
        <f t="shared" si="3"/>
        <v>3490000</v>
      </c>
      <c r="R20" s="85">
        <f t="shared" si="1"/>
        <v>170546</v>
      </c>
      <c r="S20" s="93">
        <f t="shared" si="2"/>
        <v>441954</v>
      </c>
    </row>
    <row r="21" customHeight="1" spans="1:19">
      <c r="A21" s="83">
        <v>15</v>
      </c>
      <c r="B21" s="83" t="s">
        <v>35</v>
      </c>
      <c r="C21" s="83">
        <v>37</v>
      </c>
      <c r="D21" s="84">
        <v>3700000</v>
      </c>
      <c r="E21" s="85">
        <f>25000+200000+555000</f>
        <v>780000</v>
      </c>
      <c r="F21" s="85">
        <f>200000+600000+600000</f>
        <v>1400000</v>
      </c>
      <c r="G21" s="85">
        <f>500000+200000</f>
        <v>700000</v>
      </c>
      <c r="H21" s="85">
        <v>400000</v>
      </c>
      <c r="I21" s="85">
        <v>1850000</v>
      </c>
      <c r="J21" s="85">
        <f>1106000-281000</f>
        <v>825000</v>
      </c>
      <c r="K21" s="85">
        <f>412500</f>
        <v>412500</v>
      </c>
      <c r="L21" s="85">
        <v>0</v>
      </c>
      <c r="M21" s="85">
        <f t="shared" si="0"/>
        <v>148500</v>
      </c>
      <c r="N21" s="91">
        <f t="shared" si="0"/>
        <v>74250</v>
      </c>
      <c r="O21" s="91">
        <f t="shared" si="0"/>
        <v>0</v>
      </c>
      <c r="P21" s="85">
        <v>0</v>
      </c>
      <c r="Q21" s="85">
        <f t="shared" si="3"/>
        <v>3280000</v>
      </c>
      <c r="R21" s="85">
        <f t="shared" si="1"/>
        <v>-30250</v>
      </c>
      <c r="S21" s="93">
        <f t="shared" si="2"/>
        <v>642750</v>
      </c>
    </row>
    <row r="22" customHeight="1" spans="1:19">
      <c r="A22" s="83">
        <v>16</v>
      </c>
      <c r="B22" s="83" t="s">
        <v>36</v>
      </c>
      <c r="C22" s="83">
        <v>38</v>
      </c>
      <c r="D22" s="84">
        <v>4000000</v>
      </c>
      <c r="E22" s="85">
        <v>0</v>
      </c>
      <c r="F22" s="85">
        <v>0</v>
      </c>
      <c r="G22" s="85">
        <v>225000</v>
      </c>
      <c r="H22" s="85">
        <f>1790000+892500</f>
        <v>2682500</v>
      </c>
      <c r="I22" s="85"/>
      <c r="J22" s="85"/>
      <c r="K22" s="85">
        <f>543750-93750</f>
        <v>450000</v>
      </c>
      <c r="L22" s="85">
        <f>450000+450000</f>
        <v>900000</v>
      </c>
      <c r="M22" s="85">
        <f t="shared" ref="M22:O57" si="4">J22*18%</f>
        <v>0</v>
      </c>
      <c r="N22" s="91">
        <f t="shared" si="4"/>
        <v>81000</v>
      </c>
      <c r="O22" s="91">
        <f t="shared" si="4"/>
        <v>162000</v>
      </c>
      <c r="P22" s="85">
        <v>0</v>
      </c>
      <c r="Q22" s="85">
        <f t="shared" si="3"/>
        <v>2907500</v>
      </c>
      <c r="R22" s="85">
        <f t="shared" si="1"/>
        <v>1314500</v>
      </c>
      <c r="S22" s="93">
        <f t="shared" si="2"/>
        <v>1335500</v>
      </c>
    </row>
    <row r="23" customHeight="1" spans="1:19">
      <c r="A23" s="83">
        <v>17</v>
      </c>
      <c r="B23" s="83" t="s">
        <v>37</v>
      </c>
      <c r="C23" s="83">
        <v>39</v>
      </c>
      <c r="D23" s="84">
        <v>3750000</v>
      </c>
      <c r="E23" s="85">
        <v>0</v>
      </c>
      <c r="F23" s="85">
        <v>0</v>
      </c>
      <c r="G23" s="85">
        <f>225000+940000</f>
        <v>1165000</v>
      </c>
      <c r="H23" s="85">
        <f>500000+500000+500000</f>
        <v>1500000</v>
      </c>
      <c r="I23" s="85"/>
      <c r="J23" s="85"/>
      <c r="K23" s="85">
        <f>418750</f>
        <v>418750</v>
      </c>
      <c r="L23" s="85">
        <f>418750+418750</f>
        <v>837500</v>
      </c>
      <c r="M23" s="85">
        <f t="shared" si="4"/>
        <v>0</v>
      </c>
      <c r="N23" s="91">
        <f t="shared" si="4"/>
        <v>75375</v>
      </c>
      <c r="O23" s="91">
        <f t="shared" si="4"/>
        <v>150750</v>
      </c>
      <c r="P23" s="85">
        <v>0</v>
      </c>
      <c r="Q23" s="85">
        <f t="shared" si="3"/>
        <v>2665000</v>
      </c>
      <c r="R23" s="85">
        <f t="shared" si="1"/>
        <v>1182625</v>
      </c>
      <c r="S23" s="93">
        <f t="shared" si="2"/>
        <v>1311125</v>
      </c>
    </row>
    <row r="24" customHeight="1" spans="1:19">
      <c r="A24" s="83">
        <v>18</v>
      </c>
      <c r="B24" s="83" t="s">
        <v>38</v>
      </c>
      <c r="C24" s="83">
        <v>40</v>
      </c>
      <c r="D24" s="84">
        <v>5944000</v>
      </c>
      <c r="E24" s="85">
        <v>0</v>
      </c>
      <c r="F24" s="85">
        <v>0</v>
      </c>
      <c r="G24" s="85">
        <v>625000</v>
      </c>
      <c r="H24" s="85">
        <f>1200000+400000+500000+500000+500000</f>
        <v>3100000</v>
      </c>
      <c r="I24" s="85">
        <v>0</v>
      </c>
      <c r="J24" s="85"/>
      <c r="K24" s="85"/>
      <c r="L24" s="85">
        <v>1386000</v>
      </c>
      <c r="M24" s="85">
        <f t="shared" si="4"/>
        <v>0</v>
      </c>
      <c r="N24" s="91">
        <f t="shared" si="4"/>
        <v>0</v>
      </c>
      <c r="O24" s="91">
        <f t="shared" si="4"/>
        <v>249480</v>
      </c>
      <c r="P24" s="85">
        <v>0</v>
      </c>
      <c r="Q24" s="85">
        <f t="shared" si="3"/>
        <v>3725000</v>
      </c>
      <c r="R24" s="85">
        <f t="shared" si="1"/>
        <v>2089520</v>
      </c>
      <c r="S24" s="93">
        <f t="shared" si="2"/>
        <v>2468480</v>
      </c>
    </row>
    <row r="25" customHeight="1" spans="1:19">
      <c r="A25" s="83">
        <v>19</v>
      </c>
      <c r="B25" s="83" t="s">
        <v>39</v>
      </c>
      <c r="C25" s="83">
        <v>41</v>
      </c>
      <c r="D25" s="84">
        <v>3994000</v>
      </c>
      <c r="E25" s="85">
        <v>0</v>
      </c>
      <c r="F25" s="85">
        <f>25000+200000+200000</f>
        <v>425000</v>
      </c>
      <c r="G25" s="85">
        <f>100000+300000+890000+891040</f>
        <v>2181040</v>
      </c>
      <c r="H25" s="85">
        <f>593980+300000</f>
        <v>893980</v>
      </c>
      <c r="I25" s="85">
        <v>225000</v>
      </c>
      <c r="J25" s="85"/>
      <c r="K25" s="85">
        <f>449250+449250+449250</f>
        <v>1347750</v>
      </c>
      <c r="L25" s="85">
        <v>0</v>
      </c>
      <c r="M25" s="85">
        <f t="shared" si="4"/>
        <v>0</v>
      </c>
      <c r="N25" s="91">
        <f t="shared" si="4"/>
        <v>242595</v>
      </c>
      <c r="O25" s="91">
        <f t="shared" si="4"/>
        <v>0</v>
      </c>
      <c r="P25" s="85">
        <v>9204</v>
      </c>
      <c r="Q25" s="85">
        <f t="shared" si="3"/>
        <v>3500020</v>
      </c>
      <c r="R25" s="85">
        <f t="shared" si="1"/>
        <v>1675471</v>
      </c>
      <c r="S25" s="93">
        <f t="shared" si="2"/>
        <v>745779</v>
      </c>
    </row>
    <row r="26" customHeight="1" spans="1:19">
      <c r="A26" s="83">
        <v>20</v>
      </c>
      <c r="B26" s="83" t="s">
        <v>24</v>
      </c>
      <c r="C26" s="83">
        <v>43</v>
      </c>
      <c r="D26" s="84">
        <v>4500000</v>
      </c>
      <c r="E26" s="85"/>
      <c r="F26" s="85"/>
      <c r="G26" s="85"/>
      <c r="H26" s="85">
        <v>4500000</v>
      </c>
      <c r="I26" s="85"/>
      <c r="J26" s="85"/>
      <c r="K26" s="85"/>
      <c r="L26" s="85">
        <f>1025000-1025000</f>
        <v>0</v>
      </c>
      <c r="M26" s="85">
        <f t="shared" si="4"/>
        <v>0</v>
      </c>
      <c r="N26" s="91">
        <f t="shared" si="4"/>
        <v>0</v>
      </c>
      <c r="O26" s="91">
        <f t="shared" si="4"/>
        <v>0</v>
      </c>
      <c r="P26" s="85"/>
      <c r="Q26" s="85">
        <f t="shared" si="3"/>
        <v>4500000</v>
      </c>
      <c r="R26" s="85">
        <f t="shared" si="1"/>
        <v>4500000</v>
      </c>
      <c r="S26" s="93">
        <f t="shared" si="2"/>
        <v>0</v>
      </c>
    </row>
    <row r="27" customHeight="1" spans="1:19">
      <c r="A27" s="83">
        <v>21</v>
      </c>
      <c r="B27" s="83" t="s">
        <v>24</v>
      </c>
      <c r="C27" s="83">
        <v>45</v>
      </c>
      <c r="D27" s="84">
        <v>4500000</v>
      </c>
      <c r="E27" s="85"/>
      <c r="F27" s="85"/>
      <c r="G27" s="85"/>
      <c r="H27" s="85">
        <v>4500000</v>
      </c>
      <c r="I27" s="85"/>
      <c r="J27" s="85"/>
      <c r="K27" s="85"/>
      <c r="L27" s="85">
        <f>512500-512500</f>
        <v>0</v>
      </c>
      <c r="M27" s="85">
        <f t="shared" si="4"/>
        <v>0</v>
      </c>
      <c r="N27" s="91">
        <f t="shared" si="4"/>
        <v>0</v>
      </c>
      <c r="O27" s="91">
        <f t="shared" si="4"/>
        <v>0</v>
      </c>
      <c r="P27" s="85"/>
      <c r="Q27" s="85">
        <f t="shared" si="3"/>
        <v>4500000</v>
      </c>
      <c r="R27" s="85">
        <f t="shared" si="1"/>
        <v>4500000</v>
      </c>
      <c r="S27" s="93">
        <f t="shared" si="2"/>
        <v>0</v>
      </c>
    </row>
    <row r="28" customHeight="1" spans="1:19">
      <c r="A28" s="83">
        <v>22</v>
      </c>
      <c r="B28" s="83" t="s">
        <v>25</v>
      </c>
      <c r="C28" s="83">
        <v>43</v>
      </c>
      <c r="D28" s="84">
        <v>4500000</v>
      </c>
      <c r="E28" s="85"/>
      <c r="F28" s="85"/>
      <c r="G28" s="85"/>
      <c r="H28" s="85">
        <v>0</v>
      </c>
      <c r="I28" s="85">
        <v>0</v>
      </c>
      <c r="J28" s="85"/>
      <c r="K28" s="85"/>
      <c r="L28" s="85">
        <v>1025000</v>
      </c>
      <c r="M28" s="85">
        <f t="shared" si="4"/>
        <v>0</v>
      </c>
      <c r="N28" s="91">
        <f t="shared" si="4"/>
        <v>0</v>
      </c>
      <c r="O28" s="91">
        <f t="shared" si="4"/>
        <v>184500</v>
      </c>
      <c r="P28" s="85">
        <v>0</v>
      </c>
      <c r="Q28" s="85">
        <f t="shared" si="3"/>
        <v>0</v>
      </c>
      <c r="R28" s="85">
        <f t="shared" si="1"/>
        <v>-1209500</v>
      </c>
      <c r="S28" s="93">
        <f t="shared" si="2"/>
        <v>4684500</v>
      </c>
    </row>
    <row r="29" customHeight="1" spans="1:19">
      <c r="A29" s="83">
        <v>23</v>
      </c>
      <c r="B29" s="83" t="s">
        <v>25</v>
      </c>
      <c r="C29" s="83">
        <v>45</v>
      </c>
      <c r="D29" s="84">
        <v>6000000</v>
      </c>
      <c r="E29" s="85"/>
      <c r="F29" s="85"/>
      <c r="G29" s="85"/>
      <c r="H29" s="85">
        <v>0</v>
      </c>
      <c r="I29" s="85">
        <v>0</v>
      </c>
      <c r="J29" s="85"/>
      <c r="K29" s="85"/>
      <c r="L29" s="85">
        <v>700000</v>
      </c>
      <c r="M29" s="85">
        <f t="shared" si="4"/>
        <v>0</v>
      </c>
      <c r="N29" s="91">
        <f t="shared" si="4"/>
        <v>0</v>
      </c>
      <c r="O29" s="91">
        <f t="shared" si="4"/>
        <v>126000</v>
      </c>
      <c r="P29" s="85">
        <v>0</v>
      </c>
      <c r="Q29" s="85">
        <f t="shared" si="3"/>
        <v>0</v>
      </c>
      <c r="R29" s="85">
        <f t="shared" si="1"/>
        <v>-826000</v>
      </c>
      <c r="S29" s="93">
        <f t="shared" si="2"/>
        <v>6126000</v>
      </c>
    </row>
    <row r="30" customHeight="1" spans="1:19">
      <c r="A30" s="83">
        <v>24</v>
      </c>
      <c r="B30" s="83" t="s">
        <v>40</v>
      </c>
      <c r="C30" s="83">
        <v>46</v>
      </c>
      <c r="D30" s="84">
        <v>4800000</v>
      </c>
      <c r="E30" s="85"/>
      <c r="F30" s="85"/>
      <c r="G30" s="85"/>
      <c r="H30" s="85">
        <f>25000+200000+945000+500000+180000+200000</f>
        <v>2050000</v>
      </c>
      <c r="I30" s="85">
        <v>0</v>
      </c>
      <c r="J30" s="85">
        <v>0</v>
      </c>
      <c r="K30" s="85">
        <v>0</v>
      </c>
      <c r="L30" s="85">
        <f>1475000-375000</f>
        <v>1100000</v>
      </c>
      <c r="M30" s="85">
        <f t="shared" si="4"/>
        <v>0</v>
      </c>
      <c r="N30" s="91">
        <f t="shared" si="4"/>
        <v>0</v>
      </c>
      <c r="O30" s="91">
        <f t="shared" si="4"/>
        <v>198000</v>
      </c>
      <c r="P30" s="85">
        <v>0</v>
      </c>
      <c r="Q30" s="85">
        <f t="shared" si="3"/>
        <v>2050000</v>
      </c>
      <c r="R30" s="85">
        <f t="shared" si="1"/>
        <v>752000</v>
      </c>
      <c r="S30" s="93">
        <f t="shared" si="2"/>
        <v>2948000</v>
      </c>
    </row>
    <row r="31" customHeight="1" spans="1:19">
      <c r="A31" s="83">
        <v>25</v>
      </c>
      <c r="B31" s="83" t="s">
        <v>41</v>
      </c>
      <c r="C31" s="83">
        <v>48</v>
      </c>
      <c r="D31" s="84">
        <v>3600000</v>
      </c>
      <c r="E31" s="85">
        <f>25000+200000+200000+175000</f>
        <v>600000</v>
      </c>
      <c r="F31" s="85">
        <v>1746000</v>
      </c>
      <c r="G31" s="85">
        <v>527000</v>
      </c>
      <c r="H31" s="85">
        <f>727000+200000</f>
        <v>927000</v>
      </c>
      <c r="I31" s="85">
        <v>1555500</v>
      </c>
      <c r="J31" s="85"/>
      <c r="K31" s="85">
        <f>1073000+127000</f>
        <v>1200000</v>
      </c>
      <c r="L31" s="85">
        <v>0</v>
      </c>
      <c r="M31" s="85">
        <f t="shared" si="4"/>
        <v>0</v>
      </c>
      <c r="N31" s="91">
        <f t="shared" si="4"/>
        <v>216000</v>
      </c>
      <c r="O31" s="91">
        <f t="shared" si="4"/>
        <v>0</v>
      </c>
      <c r="P31" s="85">
        <v>135228</v>
      </c>
      <c r="Q31" s="85">
        <f t="shared" si="3"/>
        <v>3800000</v>
      </c>
      <c r="R31" s="85">
        <f t="shared" si="1"/>
        <v>693272</v>
      </c>
      <c r="S31" s="93">
        <f t="shared" si="2"/>
        <v>151228</v>
      </c>
    </row>
    <row r="32" customHeight="1" spans="1:19">
      <c r="A32" s="83">
        <v>26</v>
      </c>
      <c r="B32" s="83" t="s">
        <v>24</v>
      </c>
      <c r="C32" s="83">
        <v>49</v>
      </c>
      <c r="D32" s="84">
        <v>4500000</v>
      </c>
      <c r="E32" s="85"/>
      <c r="F32" s="85"/>
      <c r="G32" s="85"/>
      <c r="H32" s="85">
        <v>4500000</v>
      </c>
      <c r="I32" s="85"/>
      <c r="J32" s="85"/>
      <c r="K32" s="85"/>
      <c r="L32" s="85">
        <f>1025000-1025000</f>
        <v>0</v>
      </c>
      <c r="M32" s="85">
        <f t="shared" si="4"/>
        <v>0</v>
      </c>
      <c r="N32" s="91">
        <f t="shared" si="4"/>
        <v>0</v>
      </c>
      <c r="O32" s="91">
        <f t="shared" si="4"/>
        <v>0</v>
      </c>
      <c r="P32" s="85"/>
      <c r="Q32" s="85">
        <f t="shared" si="3"/>
        <v>4500000</v>
      </c>
      <c r="R32" s="85">
        <f t="shared" si="1"/>
        <v>4500000</v>
      </c>
      <c r="S32" s="93">
        <f t="shared" si="2"/>
        <v>0</v>
      </c>
    </row>
    <row r="33" customHeight="1" spans="1:19">
      <c r="A33" s="83">
        <v>27</v>
      </c>
      <c r="B33" s="83" t="s">
        <v>25</v>
      </c>
      <c r="C33" s="83">
        <v>49</v>
      </c>
      <c r="D33" s="84">
        <v>4500000</v>
      </c>
      <c r="E33" s="85"/>
      <c r="F33" s="85"/>
      <c r="G33" s="85"/>
      <c r="H33" s="85">
        <v>0</v>
      </c>
      <c r="I33" s="85">
        <v>0</v>
      </c>
      <c r="J33" s="85"/>
      <c r="K33" s="85"/>
      <c r="L33" s="85">
        <v>1025000</v>
      </c>
      <c r="M33" s="85">
        <f t="shared" si="4"/>
        <v>0</v>
      </c>
      <c r="N33" s="91">
        <f t="shared" si="4"/>
        <v>0</v>
      </c>
      <c r="O33" s="91">
        <f t="shared" si="4"/>
        <v>184500</v>
      </c>
      <c r="P33" s="85">
        <v>0</v>
      </c>
      <c r="Q33" s="85">
        <f t="shared" si="3"/>
        <v>0</v>
      </c>
      <c r="R33" s="85">
        <f t="shared" si="1"/>
        <v>-1209500</v>
      </c>
      <c r="S33" s="93">
        <f t="shared" si="2"/>
        <v>4684500</v>
      </c>
    </row>
    <row r="34" customHeight="1" spans="1:19">
      <c r="A34" s="83">
        <v>28</v>
      </c>
      <c r="B34" s="83" t="s">
        <v>25</v>
      </c>
      <c r="C34" s="83">
        <v>51</v>
      </c>
      <c r="D34" s="84">
        <v>6000000</v>
      </c>
      <c r="E34" s="85"/>
      <c r="F34" s="85"/>
      <c r="G34" s="85"/>
      <c r="H34" s="85">
        <v>0</v>
      </c>
      <c r="I34" s="85">
        <v>0</v>
      </c>
      <c r="J34" s="85"/>
      <c r="K34" s="85"/>
      <c r="L34" s="85">
        <v>700000</v>
      </c>
      <c r="M34" s="85">
        <f t="shared" si="4"/>
        <v>0</v>
      </c>
      <c r="N34" s="91">
        <f t="shared" si="4"/>
        <v>0</v>
      </c>
      <c r="O34" s="91">
        <f t="shared" si="4"/>
        <v>126000</v>
      </c>
      <c r="P34" s="85">
        <v>0</v>
      </c>
      <c r="Q34" s="85">
        <f t="shared" si="3"/>
        <v>0</v>
      </c>
      <c r="R34" s="85">
        <f t="shared" si="1"/>
        <v>-826000</v>
      </c>
      <c r="S34" s="93">
        <f t="shared" si="2"/>
        <v>6126000</v>
      </c>
    </row>
    <row r="35" customHeight="1" spans="1:19">
      <c r="A35" s="83">
        <v>29</v>
      </c>
      <c r="B35" s="83" t="s">
        <v>25</v>
      </c>
      <c r="C35" s="83">
        <v>52</v>
      </c>
      <c r="D35" s="84">
        <v>6000000</v>
      </c>
      <c r="E35" s="85"/>
      <c r="F35" s="85"/>
      <c r="G35" s="85"/>
      <c r="H35" s="85">
        <v>0</v>
      </c>
      <c r="I35" s="85">
        <v>0</v>
      </c>
      <c r="J35" s="85"/>
      <c r="K35" s="85"/>
      <c r="L35" s="85">
        <v>700000</v>
      </c>
      <c r="M35" s="85">
        <f t="shared" si="4"/>
        <v>0</v>
      </c>
      <c r="N35" s="91">
        <f t="shared" si="4"/>
        <v>0</v>
      </c>
      <c r="O35" s="91">
        <f t="shared" si="4"/>
        <v>126000</v>
      </c>
      <c r="P35" s="85">
        <v>0</v>
      </c>
      <c r="Q35" s="85">
        <f t="shared" si="3"/>
        <v>0</v>
      </c>
      <c r="R35" s="85">
        <f t="shared" si="1"/>
        <v>-826000</v>
      </c>
      <c r="S35" s="93">
        <f t="shared" si="2"/>
        <v>6126000</v>
      </c>
    </row>
    <row r="36" customHeight="1" spans="1:19">
      <c r="A36" s="83">
        <v>30</v>
      </c>
      <c r="B36" s="83" t="s">
        <v>42</v>
      </c>
      <c r="C36" s="83">
        <v>54</v>
      </c>
      <c r="D36" s="84">
        <v>4500000</v>
      </c>
      <c r="E36" s="85"/>
      <c r="F36" s="85"/>
      <c r="G36" s="85"/>
      <c r="H36" s="85">
        <f>4000000+500000</f>
        <v>4500000</v>
      </c>
      <c r="I36" s="85"/>
      <c r="J36" s="85"/>
      <c r="K36" s="85"/>
      <c r="L36" s="85">
        <f>512500-512500</f>
        <v>0</v>
      </c>
      <c r="M36" s="85">
        <f t="shared" si="4"/>
        <v>0</v>
      </c>
      <c r="N36" s="91">
        <f t="shared" si="4"/>
        <v>0</v>
      </c>
      <c r="O36" s="91">
        <f t="shared" si="4"/>
        <v>0</v>
      </c>
      <c r="P36" s="85"/>
      <c r="Q36" s="85">
        <f t="shared" si="3"/>
        <v>4500000</v>
      </c>
      <c r="R36" s="85">
        <f t="shared" si="1"/>
        <v>4500000</v>
      </c>
      <c r="S36" s="93">
        <v>0</v>
      </c>
    </row>
    <row r="37" customHeight="1" spans="1:19">
      <c r="A37" s="83">
        <v>31</v>
      </c>
      <c r="B37" s="83" t="s">
        <v>43</v>
      </c>
      <c r="C37" s="83">
        <v>54</v>
      </c>
      <c r="D37" s="84">
        <v>4500000</v>
      </c>
      <c r="E37" s="85"/>
      <c r="F37" s="85"/>
      <c r="G37" s="85"/>
      <c r="H37" s="85">
        <v>0</v>
      </c>
      <c r="I37" s="85">
        <v>0</v>
      </c>
      <c r="J37" s="85"/>
      <c r="K37" s="85"/>
      <c r="L37" s="85">
        <v>1025000</v>
      </c>
      <c r="M37" s="85">
        <f t="shared" si="4"/>
        <v>0</v>
      </c>
      <c r="N37" s="91">
        <f t="shared" si="4"/>
        <v>0</v>
      </c>
      <c r="O37" s="91">
        <f t="shared" si="4"/>
        <v>184500</v>
      </c>
      <c r="P37" s="85">
        <v>0</v>
      </c>
      <c r="Q37" s="85">
        <f t="shared" si="3"/>
        <v>0</v>
      </c>
      <c r="R37" s="85">
        <f t="shared" si="1"/>
        <v>-1209500</v>
      </c>
      <c r="S37" s="93">
        <f t="shared" ref="S37:S57" si="5">D37+M37+N37+P37+O37-Q37</f>
        <v>4684500</v>
      </c>
    </row>
    <row r="38" customHeight="1" spans="1:19">
      <c r="A38" s="83">
        <v>32</v>
      </c>
      <c r="B38" s="83" t="s">
        <v>44</v>
      </c>
      <c r="C38" s="83">
        <v>55</v>
      </c>
      <c r="D38" s="84">
        <v>5800000</v>
      </c>
      <c r="E38" s="85">
        <v>0</v>
      </c>
      <c r="F38" s="85">
        <v>0</v>
      </c>
      <c r="G38" s="85">
        <f>225000+870000</f>
        <v>1095000</v>
      </c>
      <c r="H38" s="85">
        <f>1351000+1351000</f>
        <v>2702000</v>
      </c>
      <c r="I38" s="85"/>
      <c r="J38" s="85"/>
      <c r="K38" s="85"/>
      <c r="L38" s="85">
        <f>675000+675000</f>
        <v>1350000</v>
      </c>
      <c r="M38" s="85">
        <f t="shared" si="4"/>
        <v>0</v>
      </c>
      <c r="N38" s="91">
        <f t="shared" si="4"/>
        <v>0</v>
      </c>
      <c r="O38" s="91">
        <f t="shared" si="4"/>
        <v>243000</v>
      </c>
      <c r="P38" s="85">
        <v>0</v>
      </c>
      <c r="Q38" s="85">
        <f t="shared" si="3"/>
        <v>3797000</v>
      </c>
      <c r="R38" s="85">
        <f t="shared" si="1"/>
        <v>2204000</v>
      </c>
      <c r="S38" s="93">
        <f t="shared" si="5"/>
        <v>2246000</v>
      </c>
    </row>
    <row r="39" customHeight="1" spans="1:19">
      <c r="A39" s="83">
        <v>33</v>
      </c>
      <c r="B39" s="83" t="s">
        <v>45</v>
      </c>
      <c r="C39" s="83">
        <v>56</v>
      </c>
      <c r="D39" s="84">
        <v>4200000</v>
      </c>
      <c r="E39" s="85"/>
      <c r="F39" s="85">
        <v>0</v>
      </c>
      <c r="G39" s="85">
        <v>225000</v>
      </c>
      <c r="H39" s="85">
        <f>600000+75000+1980000+156228</f>
        <v>2811228</v>
      </c>
      <c r="I39" s="85"/>
      <c r="J39" s="85"/>
      <c r="K39" s="85"/>
      <c r="L39" s="85">
        <v>950000</v>
      </c>
      <c r="M39" s="85">
        <f t="shared" si="4"/>
        <v>0</v>
      </c>
      <c r="N39" s="91">
        <f t="shared" si="4"/>
        <v>0</v>
      </c>
      <c r="O39" s="91">
        <f t="shared" si="4"/>
        <v>171000</v>
      </c>
      <c r="P39" s="85">
        <f>147024+9204</f>
        <v>156228</v>
      </c>
      <c r="Q39" s="85">
        <f t="shared" si="3"/>
        <v>3036228</v>
      </c>
      <c r="R39" s="85">
        <f t="shared" si="1"/>
        <v>1759000</v>
      </c>
      <c r="S39" s="93">
        <f t="shared" si="5"/>
        <v>1491000</v>
      </c>
    </row>
    <row r="40" customHeight="1" spans="1:19">
      <c r="A40" s="83">
        <v>34</v>
      </c>
      <c r="B40" s="83" t="s">
        <v>46</v>
      </c>
      <c r="C40" s="83">
        <v>57</v>
      </c>
      <c r="D40" s="84">
        <v>3700000</v>
      </c>
      <c r="E40" s="85">
        <f>25000+200000+300000</f>
        <v>525000</v>
      </c>
      <c r="F40" s="85">
        <f>200000+1687000</f>
        <v>1887000</v>
      </c>
      <c r="G40" s="85"/>
      <c r="H40" s="85">
        <f>544000+270000</f>
        <v>814000</v>
      </c>
      <c r="I40" s="85">
        <v>1596000</v>
      </c>
      <c r="J40" s="85"/>
      <c r="K40" s="85">
        <f>825000+412500</f>
        <v>1237500</v>
      </c>
      <c r="L40" s="85">
        <v>0</v>
      </c>
      <c r="M40" s="85">
        <f t="shared" si="4"/>
        <v>0</v>
      </c>
      <c r="N40" s="91">
        <f t="shared" si="4"/>
        <v>222750</v>
      </c>
      <c r="O40" s="91">
        <f t="shared" si="4"/>
        <v>0</v>
      </c>
      <c r="P40" s="85">
        <v>29500</v>
      </c>
      <c r="Q40" s="85">
        <f t="shared" si="3"/>
        <v>3226000</v>
      </c>
      <c r="R40" s="85">
        <f t="shared" si="1"/>
        <v>140250</v>
      </c>
      <c r="S40" s="93">
        <f t="shared" si="5"/>
        <v>726250</v>
      </c>
    </row>
    <row r="41" customHeight="1" spans="1:19">
      <c r="A41" s="83">
        <v>35</v>
      </c>
      <c r="B41" s="83" t="s">
        <v>47</v>
      </c>
      <c r="C41" s="83">
        <v>59</v>
      </c>
      <c r="D41" s="84">
        <v>5500000</v>
      </c>
      <c r="E41" s="85">
        <v>0</v>
      </c>
      <c r="F41" s="85">
        <v>0</v>
      </c>
      <c r="G41" s="85">
        <f>25000+500000+250000+230000+45000</f>
        <v>1050000</v>
      </c>
      <c r="H41" s="85">
        <f>400000+625000+1925000</f>
        <v>2950000</v>
      </c>
      <c r="I41" s="85">
        <v>0</v>
      </c>
      <c r="J41" s="85"/>
      <c r="K41" s="85">
        <v>0</v>
      </c>
      <c r="L41" s="85">
        <f>637500+637500</f>
        <v>1275000</v>
      </c>
      <c r="M41" s="85">
        <f t="shared" si="4"/>
        <v>0</v>
      </c>
      <c r="N41" s="91">
        <f t="shared" si="4"/>
        <v>0</v>
      </c>
      <c r="O41" s="91">
        <f t="shared" si="4"/>
        <v>229500</v>
      </c>
      <c r="P41" s="85">
        <v>9204</v>
      </c>
      <c r="Q41" s="85">
        <f t="shared" si="3"/>
        <v>4000000</v>
      </c>
      <c r="R41" s="85">
        <f t="shared" si="1"/>
        <v>2486296</v>
      </c>
      <c r="S41" s="93">
        <f t="shared" si="5"/>
        <v>1738704</v>
      </c>
    </row>
    <row r="42" customHeight="1" spans="1:19">
      <c r="A42" s="83">
        <v>36</v>
      </c>
      <c r="B42" s="83" t="s">
        <v>48</v>
      </c>
      <c r="C42" s="83">
        <v>60</v>
      </c>
      <c r="D42" s="84">
        <v>3300000</v>
      </c>
      <c r="E42" s="85">
        <v>0</v>
      </c>
      <c r="F42" s="85">
        <v>0</v>
      </c>
      <c r="G42" s="85">
        <f>225000</f>
        <v>225000</v>
      </c>
      <c r="H42" s="85">
        <f>645000+938000</f>
        <v>1583000</v>
      </c>
      <c r="I42" s="85"/>
      <c r="J42" s="85"/>
      <c r="K42" s="85"/>
      <c r="L42" s="85">
        <f>975000-250000</f>
        <v>725000</v>
      </c>
      <c r="M42" s="85">
        <f t="shared" si="4"/>
        <v>0</v>
      </c>
      <c r="N42" s="91">
        <f t="shared" si="4"/>
        <v>0</v>
      </c>
      <c r="O42" s="91">
        <f t="shared" si="4"/>
        <v>130500</v>
      </c>
      <c r="P42" s="85">
        <v>9204</v>
      </c>
      <c r="Q42" s="85">
        <f t="shared" si="3"/>
        <v>1808000</v>
      </c>
      <c r="R42" s="85">
        <f t="shared" si="1"/>
        <v>943296</v>
      </c>
      <c r="S42" s="93">
        <f t="shared" si="5"/>
        <v>1631704</v>
      </c>
    </row>
    <row r="43" customHeight="1" spans="1:19">
      <c r="A43" s="83">
        <v>37</v>
      </c>
      <c r="B43" s="83" t="s">
        <v>49</v>
      </c>
      <c r="C43" s="83">
        <v>61</v>
      </c>
      <c r="D43" s="84">
        <v>3700000</v>
      </c>
      <c r="E43" s="85">
        <v>0</v>
      </c>
      <c r="F43" s="85">
        <f>25000+200000+200000+70000+130000+150000+200000+200000</f>
        <v>1175000</v>
      </c>
      <c r="G43" s="85">
        <v>1781000</v>
      </c>
      <c r="H43" s="85">
        <v>544000</v>
      </c>
      <c r="I43" s="85">
        <v>2203000</v>
      </c>
      <c r="J43" s="85"/>
      <c r="K43" s="85">
        <f>1200000+600000-562500</f>
        <v>1237500</v>
      </c>
      <c r="L43" s="85">
        <v>0</v>
      </c>
      <c r="M43" s="85">
        <f t="shared" si="4"/>
        <v>0</v>
      </c>
      <c r="N43" s="91">
        <f t="shared" si="4"/>
        <v>222750</v>
      </c>
      <c r="O43" s="91">
        <f t="shared" si="4"/>
        <v>0</v>
      </c>
      <c r="P43" s="85">
        <v>3068</v>
      </c>
      <c r="Q43" s="85">
        <f t="shared" si="3"/>
        <v>3500000</v>
      </c>
      <c r="R43" s="85">
        <f t="shared" si="1"/>
        <v>-166318</v>
      </c>
      <c r="S43" s="93">
        <f t="shared" si="5"/>
        <v>425818</v>
      </c>
    </row>
    <row r="44" customHeight="1" spans="1:19">
      <c r="A44" s="83">
        <v>38</v>
      </c>
      <c r="B44" s="83" t="s">
        <v>50</v>
      </c>
      <c r="C44" s="83">
        <v>63</v>
      </c>
      <c r="D44" s="84">
        <v>3916000</v>
      </c>
      <c r="E44" s="85">
        <f>25000+200000</f>
        <v>225000</v>
      </c>
      <c r="F44" s="85">
        <f>300000+287400+1742160</f>
        <v>2329560</v>
      </c>
      <c r="G44" s="85">
        <v>0</v>
      </c>
      <c r="H44" s="85">
        <f>230000+257840+330720</f>
        <v>818560</v>
      </c>
      <c r="I44" s="85">
        <v>1683480</v>
      </c>
      <c r="J44" s="85"/>
      <c r="K44" s="85">
        <f>596560+282440+439500</f>
        <v>1318500</v>
      </c>
      <c r="L44" s="85">
        <v>0</v>
      </c>
      <c r="M44" s="85">
        <f t="shared" si="4"/>
        <v>0</v>
      </c>
      <c r="N44" s="91">
        <f t="shared" si="4"/>
        <v>237330</v>
      </c>
      <c r="O44" s="91">
        <f t="shared" si="4"/>
        <v>0</v>
      </c>
      <c r="P44" s="85">
        <v>9204</v>
      </c>
      <c r="Q44" s="85">
        <f t="shared" si="3"/>
        <v>3373120</v>
      </c>
      <c r="R44" s="85">
        <f t="shared" si="1"/>
        <v>124606</v>
      </c>
      <c r="S44" s="93">
        <f t="shared" si="5"/>
        <v>789414</v>
      </c>
    </row>
    <row r="45" customHeight="1" spans="1:19">
      <c r="A45" s="83">
        <v>39</v>
      </c>
      <c r="B45" s="83" t="s">
        <v>51</v>
      </c>
      <c r="C45" s="83">
        <v>64</v>
      </c>
      <c r="D45" s="84">
        <v>3916000</v>
      </c>
      <c r="E45" s="85">
        <f>25000+200000</f>
        <v>225000</v>
      </c>
      <c r="F45" s="85">
        <f>87400+500000+480000+391080+871080</f>
        <v>2329560</v>
      </c>
      <c r="G45" s="85">
        <v>580720</v>
      </c>
      <c r="H45" s="85">
        <v>726984</v>
      </c>
      <c r="I45" s="85">
        <v>1958000</v>
      </c>
      <c r="J45" s="85">
        <f>1177280-298280</f>
        <v>879000</v>
      </c>
      <c r="K45" s="85">
        <v>439500</v>
      </c>
      <c r="L45" s="85">
        <v>0</v>
      </c>
      <c r="M45" s="85">
        <f t="shared" si="4"/>
        <v>158220</v>
      </c>
      <c r="N45" s="91">
        <f t="shared" si="4"/>
        <v>79110</v>
      </c>
      <c r="O45" s="91">
        <f t="shared" si="4"/>
        <v>0</v>
      </c>
      <c r="P45" s="85">
        <f>137084+9204</f>
        <v>146288</v>
      </c>
      <c r="Q45" s="85">
        <f t="shared" si="3"/>
        <v>3862264</v>
      </c>
      <c r="R45" s="85">
        <f t="shared" si="1"/>
        <v>202146</v>
      </c>
      <c r="S45" s="93">
        <f t="shared" si="5"/>
        <v>437354</v>
      </c>
    </row>
    <row r="46" customHeight="1" spans="1:19">
      <c r="A46" s="83">
        <v>40</v>
      </c>
      <c r="B46" s="83" t="s">
        <v>52</v>
      </c>
      <c r="C46" s="83">
        <v>65</v>
      </c>
      <c r="D46" s="84">
        <v>5416000</v>
      </c>
      <c r="E46" s="85">
        <v>0</v>
      </c>
      <c r="F46" s="85">
        <v>0</v>
      </c>
      <c r="G46" s="85">
        <f>225000+2066000+1253580</f>
        <v>3544580</v>
      </c>
      <c r="H46" s="85">
        <f>400000+435720</f>
        <v>835720</v>
      </c>
      <c r="I46" s="85">
        <v>0</v>
      </c>
      <c r="J46" s="85"/>
      <c r="K46" s="85">
        <v>1254000</v>
      </c>
      <c r="L46" s="85">
        <v>627000</v>
      </c>
      <c r="M46" s="85">
        <f t="shared" si="4"/>
        <v>0</v>
      </c>
      <c r="N46" s="91">
        <f t="shared" si="4"/>
        <v>225720</v>
      </c>
      <c r="O46" s="91">
        <f t="shared" si="4"/>
        <v>112860</v>
      </c>
      <c r="P46" s="85">
        <v>9204</v>
      </c>
      <c r="Q46" s="85">
        <f t="shared" si="3"/>
        <v>4380300</v>
      </c>
      <c r="R46" s="85">
        <f t="shared" si="1"/>
        <v>2151516</v>
      </c>
      <c r="S46" s="93">
        <f t="shared" si="5"/>
        <v>1383484</v>
      </c>
    </row>
    <row r="47" customHeight="1" spans="1:19">
      <c r="A47" s="83">
        <v>41</v>
      </c>
      <c r="B47" s="83" t="s">
        <v>53</v>
      </c>
      <c r="C47" s="83">
        <v>66</v>
      </c>
      <c r="D47" s="84">
        <v>5560000</v>
      </c>
      <c r="E47" s="85">
        <v>0</v>
      </c>
      <c r="F47" s="85">
        <f>25000+200000+610500+800000</f>
        <v>1635500</v>
      </c>
      <c r="G47" s="85">
        <v>0</v>
      </c>
      <c r="H47" s="85">
        <f>2000000+700000</f>
        <v>2700000</v>
      </c>
      <c r="I47" s="85">
        <v>835500</v>
      </c>
      <c r="J47" s="85"/>
      <c r="K47" s="85">
        <f>458750+458750</f>
        <v>917500</v>
      </c>
      <c r="L47" s="85">
        <f>458750+558750</f>
        <v>1017500</v>
      </c>
      <c r="M47" s="85">
        <f t="shared" si="4"/>
        <v>0</v>
      </c>
      <c r="N47" s="91">
        <f t="shared" si="4"/>
        <v>165150</v>
      </c>
      <c r="O47" s="91">
        <f t="shared" si="4"/>
        <v>183150</v>
      </c>
      <c r="P47" s="85">
        <v>0</v>
      </c>
      <c r="Q47" s="85">
        <f t="shared" si="3"/>
        <v>4335500</v>
      </c>
      <c r="R47" s="85">
        <f t="shared" si="1"/>
        <v>1216700</v>
      </c>
      <c r="S47" s="93">
        <f t="shared" si="5"/>
        <v>1572800</v>
      </c>
    </row>
    <row r="48" customHeight="1" spans="1:19">
      <c r="A48" s="83">
        <v>42</v>
      </c>
      <c r="B48" s="83" t="s">
        <v>54</v>
      </c>
      <c r="C48" s="83">
        <v>69</v>
      </c>
      <c r="D48" s="84">
        <v>4000000</v>
      </c>
      <c r="E48" s="85">
        <v>0</v>
      </c>
      <c r="F48" s="85">
        <v>0</v>
      </c>
      <c r="G48" s="85">
        <v>0</v>
      </c>
      <c r="H48" s="85">
        <v>2014000</v>
      </c>
      <c r="I48" s="85"/>
      <c r="J48" s="85"/>
      <c r="K48" s="85"/>
      <c r="L48" s="85">
        <v>900000</v>
      </c>
      <c r="M48" s="85">
        <f t="shared" si="4"/>
        <v>0</v>
      </c>
      <c r="N48" s="91">
        <f t="shared" si="4"/>
        <v>0</v>
      </c>
      <c r="O48" s="91">
        <f t="shared" si="4"/>
        <v>162000</v>
      </c>
      <c r="P48" s="85">
        <v>0</v>
      </c>
      <c r="Q48" s="85">
        <f t="shared" si="3"/>
        <v>2014000</v>
      </c>
      <c r="R48" s="85">
        <f t="shared" si="1"/>
        <v>952000</v>
      </c>
      <c r="S48" s="93">
        <f t="shared" si="5"/>
        <v>2148000</v>
      </c>
    </row>
    <row r="49" customHeight="1" spans="1:19">
      <c r="A49" s="83">
        <v>43</v>
      </c>
      <c r="B49" s="83" t="s">
        <v>55</v>
      </c>
      <c r="C49" s="83">
        <v>70</v>
      </c>
      <c r="D49" s="84">
        <v>3600000</v>
      </c>
      <c r="E49" s="85"/>
      <c r="F49" s="85">
        <v>0</v>
      </c>
      <c r="G49" s="85">
        <f>225000+21500</f>
        <v>246500</v>
      </c>
      <c r="H49" s="85">
        <v>500000</v>
      </c>
      <c r="I49" s="85"/>
      <c r="J49" s="85"/>
      <c r="K49" s="85"/>
      <c r="L49" s="85">
        <f>1350000-550000</f>
        <v>800000</v>
      </c>
      <c r="M49" s="85">
        <f t="shared" si="4"/>
        <v>0</v>
      </c>
      <c r="N49" s="91">
        <f t="shared" si="4"/>
        <v>0</v>
      </c>
      <c r="O49" s="91">
        <f t="shared" si="4"/>
        <v>144000</v>
      </c>
      <c r="P49" s="85">
        <v>0</v>
      </c>
      <c r="Q49" s="85">
        <f t="shared" si="3"/>
        <v>746500</v>
      </c>
      <c r="R49" s="85">
        <f t="shared" si="1"/>
        <v>-197500</v>
      </c>
      <c r="S49" s="93">
        <f t="shared" si="5"/>
        <v>2997500</v>
      </c>
    </row>
    <row r="50" customHeight="1" spans="1:19">
      <c r="A50" s="83">
        <v>44</v>
      </c>
      <c r="B50" s="83" t="s">
        <v>56</v>
      </c>
      <c r="C50" s="83">
        <v>74</v>
      </c>
      <c r="D50" s="84">
        <v>3700000</v>
      </c>
      <c r="E50" s="85">
        <v>0</v>
      </c>
      <c r="F50" s="85">
        <f>200000+25000+250000+300000+300000+250000</f>
        <v>1325000</v>
      </c>
      <c r="G50" s="85">
        <f>250000+800000+581000</f>
        <v>1631000</v>
      </c>
      <c r="H50" s="85">
        <f>500000+244000</f>
        <v>744000</v>
      </c>
      <c r="I50" s="85">
        <v>1596000</v>
      </c>
      <c r="J50" s="85"/>
      <c r="K50" s="85">
        <f>825000+412500</f>
        <v>1237500</v>
      </c>
      <c r="L50" s="85">
        <v>0</v>
      </c>
      <c r="M50" s="85">
        <f t="shared" si="4"/>
        <v>0</v>
      </c>
      <c r="N50" s="91">
        <f t="shared" si="4"/>
        <v>222750</v>
      </c>
      <c r="O50" s="91">
        <f t="shared" si="4"/>
        <v>0</v>
      </c>
      <c r="P50" s="85">
        <v>9204</v>
      </c>
      <c r="Q50" s="85">
        <f t="shared" si="3"/>
        <v>3700000</v>
      </c>
      <c r="R50" s="85">
        <f t="shared" si="1"/>
        <v>634546</v>
      </c>
      <c r="S50" s="93">
        <f t="shared" si="5"/>
        <v>231954</v>
      </c>
    </row>
    <row r="51" customHeight="1" spans="1:19">
      <c r="A51" s="83">
        <v>45</v>
      </c>
      <c r="B51" s="83" t="s">
        <v>57</v>
      </c>
      <c r="C51" s="83">
        <v>75</v>
      </c>
      <c r="D51" s="84">
        <v>3272500</v>
      </c>
      <c r="E51" s="85">
        <v>0</v>
      </c>
      <c r="F51" s="85">
        <v>225000</v>
      </c>
      <c r="G51" s="85">
        <f>490875+706988</f>
        <v>1197863</v>
      </c>
      <c r="H51" s="85">
        <v>0</v>
      </c>
      <c r="I51" s="85">
        <v>225000</v>
      </c>
      <c r="J51" s="85"/>
      <c r="K51" s="85">
        <f>718126+359063</f>
        <v>1077189</v>
      </c>
      <c r="L51" s="85">
        <v>0</v>
      </c>
      <c r="M51" s="85">
        <f t="shared" si="4"/>
        <v>0</v>
      </c>
      <c r="N51" s="91">
        <f t="shared" si="4"/>
        <v>193894.02</v>
      </c>
      <c r="O51" s="91">
        <f t="shared" si="4"/>
        <v>0</v>
      </c>
      <c r="P51" s="85">
        <v>0</v>
      </c>
      <c r="Q51" s="85">
        <f t="shared" si="3"/>
        <v>1422863</v>
      </c>
      <c r="R51" s="85">
        <f t="shared" si="1"/>
        <v>-73220.02</v>
      </c>
      <c r="S51" s="93">
        <f t="shared" si="5"/>
        <v>2043531.02</v>
      </c>
    </row>
    <row r="52" customHeight="1" spans="1:19">
      <c r="A52" s="83">
        <v>46</v>
      </c>
      <c r="B52" s="83" t="s">
        <v>58</v>
      </c>
      <c r="C52" s="83">
        <v>76</v>
      </c>
      <c r="D52" s="84">
        <v>3140000</v>
      </c>
      <c r="E52" s="85">
        <f>25000+200000</f>
        <v>225000</v>
      </c>
      <c r="F52" s="85">
        <f>250000+200000+200000</f>
        <v>650000</v>
      </c>
      <c r="G52" s="85">
        <f>500000+477000</f>
        <v>977000</v>
      </c>
      <c r="H52" s="85">
        <v>544000</v>
      </c>
      <c r="I52" s="85">
        <v>1850000</v>
      </c>
      <c r="J52" s="85">
        <v>2000</v>
      </c>
      <c r="K52" s="85">
        <f>816000+7000+202500</f>
        <v>1025500</v>
      </c>
      <c r="L52" s="85">
        <v>0</v>
      </c>
      <c r="M52" s="85">
        <f t="shared" si="4"/>
        <v>360</v>
      </c>
      <c r="N52" s="91">
        <f t="shared" si="4"/>
        <v>184590</v>
      </c>
      <c r="O52" s="91">
        <f t="shared" si="4"/>
        <v>0</v>
      </c>
      <c r="P52" s="85">
        <v>0</v>
      </c>
      <c r="Q52" s="85">
        <f t="shared" si="3"/>
        <v>2396000</v>
      </c>
      <c r="R52" s="85">
        <f t="shared" si="1"/>
        <v>-666450</v>
      </c>
      <c r="S52" s="93">
        <f t="shared" si="5"/>
        <v>928950</v>
      </c>
    </row>
    <row r="53" customHeight="1" spans="1:19">
      <c r="A53" s="83">
        <v>47</v>
      </c>
      <c r="B53" s="83" t="s">
        <v>59</v>
      </c>
      <c r="C53" s="83">
        <v>81</v>
      </c>
      <c r="D53" s="84">
        <v>5944000</v>
      </c>
      <c r="E53" s="85">
        <v>0</v>
      </c>
      <c r="F53" s="85">
        <v>0</v>
      </c>
      <c r="G53" s="85">
        <f>225000+891600</f>
        <v>1116600</v>
      </c>
      <c r="H53" s="85">
        <f>2776500+275000+269164</f>
        <v>3320664</v>
      </c>
      <c r="I53" s="85"/>
      <c r="J53" s="85"/>
      <c r="K53" s="85">
        <v>0</v>
      </c>
      <c r="L53" s="85">
        <f>693000+693000</f>
        <v>1386000</v>
      </c>
      <c r="M53" s="85">
        <f t="shared" si="4"/>
        <v>0</v>
      </c>
      <c r="N53" s="91">
        <f t="shared" si="4"/>
        <v>0</v>
      </c>
      <c r="O53" s="91">
        <f t="shared" si="4"/>
        <v>249480</v>
      </c>
      <c r="P53" s="85">
        <v>9204</v>
      </c>
      <c r="Q53" s="85">
        <f t="shared" si="3"/>
        <v>4437264</v>
      </c>
      <c r="R53" s="85">
        <f t="shared" si="1"/>
        <v>2792580</v>
      </c>
      <c r="S53" s="93">
        <f t="shared" si="5"/>
        <v>1765420</v>
      </c>
    </row>
    <row r="54" customHeight="1" spans="1:19">
      <c r="A54" s="83">
        <v>48</v>
      </c>
      <c r="B54" s="83" t="s">
        <v>60</v>
      </c>
      <c r="C54" s="83">
        <v>82</v>
      </c>
      <c r="D54" s="84">
        <v>5800000</v>
      </c>
      <c r="E54" s="85">
        <v>0</v>
      </c>
      <c r="F54" s="85">
        <v>0</v>
      </c>
      <c r="G54" s="85">
        <f>225000+870000</f>
        <v>1095000</v>
      </c>
      <c r="H54" s="85">
        <f>1351500+1351000+281204</f>
        <v>2983704</v>
      </c>
      <c r="I54" s="85"/>
      <c r="J54" s="85"/>
      <c r="K54" s="85">
        <v>0</v>
      </c>
      <c r="L54" s="85">
        <f>675000+675000</f>
        <v>1350000</v>
      </c>
      <c r="M54" s="85">
        <f t="shared" si="4"/>
        <v>0</v>
      </c>
      <c r="N54" s="91">
        <f t="shared" si="4"/>
        <v>0</v>
      </c>
      <c r="O54" s="91">
        <f t="shared" si="4"/>
        <v>243000</v>
      </c>
      <c r="P54" s="85">
        <v>9204</v>
      </c>
      <c r="Q54" s="85">
        <f t="shared" si="3"/>
        <v>4078704</v>
      </c>
      <c r="R54" s="85">
        <f t="shared" si="1"/>
        <v>2476500</v>
      </c>
      <c r="S54" s="93">
        <f t="shared" si="5"/>
        <v>1973500</v>
      </c>
    </row>
    <row r="55" customHeight="1" spans="1:19">
      <c r="A55" s="83">
        <v>49</v>
      </c>
      <c r="B55" s="83" t="s">
        <v>61</v>
      </c>
      <c r="C55" s="83">
        <v>84</v>
      </c>
      <c r="D55" s="84">
        <v>4600000</v>
      </c>
      <c r="E55" s="85"/>
      <c r="F55" s="85"/>
      <c r="G55" s="85"/>
      <c r="H55" s="85">
        <f>225000+690000+545000</f>
        <v>1460000</v>
      </c>
      <c r="I55" s="85">
        <v>0</v>
      </c>
      <c r="J55" s="85">
        <v>0</v>
      </c>
      <c r="K55" s="85">
        <v>0</v>
      </c>
      <c r="L55" s="85">
        <v>1050000</v>
      </c>
      <c r="M55" s="85">
        <f t="shared" si="4"/>
        <v>0</v>
      </c>
      <c r="N55" s="91">
        <f t="shared" si="4"/>
        <v>0</v>
      </c>
      <c r="O55" s="91">
        <f t="shared" si="4"/>
        <v>189000</v>
      </c>
      <c r="P55" s="85">
        <v>0</v>
      </c>
      <c r="Q55" s="85">
        <f t="shared" si="3"/>
        <v>1460000</v>
      </c>
      <c r="R55" s="85">
        <f t="shared" si="1"/>
        <v>221000</v>
      </c>
      <c r="S55" s="93">
        <f t="shared" si="5"/>
        <v>3329000</v>
      </c>
    </row>
    <row r="56" customHeight="1" spans="1:19">
      <c r="A56" s="83">
        <v>50</v>
      </c>
      <c r="B56" s="83" t="s">
        <v>62</v>
      </c>
      <c r="C56" s="83">
        <v>87</v>
      </c>
      <c r="D56" s="84">
        <v>4300000</v>
      </c>
      <c r="E56" s="85">
        <v>0</v>
      </c>
      <c r="F56" s="85">
        <v>0</v>
      </c>
      <c r="G56" s="85">
        <v>525000</v>
      </c>
      <c r="H56" s="85">
        <f>300000+2629000</f>
        <v>2929000</v>
      </c>
      <c r="I56" s="85">
        <v>0</v>
      </c>
      <c r="J56" s="85">
        <v>0</v>
      </c>
      <c r="K56" s="85">
        <v>0</v>
      </c>
      <c r="L56" s="85">
        <f>487500+975000</f>
        <v>1462500</v>
      </c>
      <c r="M56" s="85">
        <f t="shared" si="4"/>
        <v>0</v>
      </c>
      <c r="N56" s="91">
        <f t="shared" si="4"/>
        <v>0</v>
      </c>
      <c r="O56" s="91">
        <f t="shared" si="4"/>
        <v>263250</v>
      </c>
      <c r="P56" s="85">
        <v>0</v>
      </c>
      <c r="Q56" s="85">
        <f t="shared" si="3"/>
        <v>3454000</v>
      </c>
      <c r="R56" s="85">
        <f t="shared" si="1"/>
        <v>1728250</v>
      </c>
      <c r="S56" s="93">
        <f t="shared" si="5"/>
        <v>1109250</v>
      </c>
    </row>
    <row r="57" customHeight="1" spans="1:19">
      <c r="A57" s="83">
        <v>51</v>
      </c>
      <c r="B57" s="86" t="s">
        <v>63</v>
      </c>
      <c r="C57" s="86">
        <v>91</v>
      </c>
      <c r="D57" s="87">
        <v>3564000</v>
      </c>
      <c r="E57" s="88">
        <v>0</v>
      </c>
      <c r="F57" s="88">
        <v>0</v>
      </c>
      <c r="G57" s="88">
        <f>1540500+1563000</f>
        <v>3103500</v>
      </c>
      <c r="H57" s="88">
        <v>0</v>
      </c>
      <c r="I57" s="88">
        <v>759000</v>
      </c>
      <c r="J57" s="88"/>
      <c r="K57" s="88">
        <f>456000+377000-42000</f>
        <v>791000</v>
      </c>
      <c r="L57" s="88">
        <v>395500</v>
      </c>
      <c r="M57" s="85">
        <f t="shared" si="4"/>
        <v>0</v>
      </c>
      <c r="N57" s="91">
        <f t="shared" si="4"/>
        <v>142380</v>
      </c>
      <c r="O57" s="91">
        <f t="shared" si="4"/>
        <v>71190</v>
      </c>
      <c r="P57" s="88">
        <v>9204</v>
      </c>
      <c r="Q57" s="88">
        <f t="shared" si="3"/>
        <v>3103500</v>
      </c>
      <c r="R57" s="85">
        <f t="shared" si="1"/>
        <v>935226</v>
      </c>
      <c r="S57" s="93">
        <f t="shared" si="5"/>
        <v>683274</v>
      </c>
    </row>
    <row r="58" customHeight="1" spans="1:19">
      <c r="A58" s="89"/>
      <c r="B58" s="90" t="s">
        <v>64</v>
      </c>
      <c r="C58" s="90"/>
      <c r="D58" s="47">
        <f>SUM(D6:D57)</f>
        <v>229185500</v>
      </c>
      <c r="E58" s="47">
        <f t="shared" ref="E58:S58" si="6">SUM(E6:E57)</f>
        <v>4580000</v>
      </c>
      <c r="F58" s="47">
        <f t="shared" si="6"/>
        <v>22831620</v>
      </c>
      <c r="G58" s="47">
        <f t="shared" si="6"/>
        <v>35394244</v>
      </c>
      <c r="H58" s="47">
        <f t="shared" si="6"/>
        <v>88807947</v>
      </c>
      <c r="I58" s="47">
        <f t="shared" si="6"/>
        <v>28752480</v>
      </c>
      <c r="J58" s="47">
        <f t="shared" si="6"/>
        <v>6600250</v>
      </c>
      <c r="K58" s="47">
        <f t="shared" si="6"/>
        <v>19629814</v>
      </c>
      <c r="L58" s="47">
        <f t="shared" si="6"/>
        <v>28898000</v>
      </c>
      <c r="M58" s="47">
        <f t="shared" si="6"/>
        <v>1188045</v>
      </c>
      <c r="N58" s="47">
        <f t="shared" si="6"/>
        <v>3533366.52</v>
      </c>
      <c r="O58" s="47">
        <f t="shared" si="6"/>
        <v>5201640</v>
      </c>
      <c r="P58" s="47">
        <f t="shared" si="6"/>
        <v>980280</v>
      </c>
      <c r="Q58" s="47">
        <f t="shared" si="6"/>
        <v>151613811</v>
      </c>
      <c r="R58" s="47">
        <f t="shared" si="6"/>
        <v>56829935.48</v>
      </c>
      <c r="S58" s="47">
        <f t="shared" si="6"/>
        <v>88475020.52</v>
      </c>
    </row>
    <row r="60" s="71" customFormat="1" customHeight="1" spans="1:15">
      <c r="A60" s="72"/>
      <c r="B60" s="72"/>
      <c r="C60" s="73"/>
      <c r="D60" s="74"/>
      <c r="M60" s="4"/>
      <c r="N60" s="4"/>
      <c r="O60" s="4"/>
    </row>
    <row r="62" customHeight="1" spans="18:18">
      <c r="R62" s="71">
        <v>0</v>
      </c>
    </row>
  </sheetData>
  <printOptions gridLines="1"/>
  <pageMargins left="0.275590551181102" right="0.09" top="0.45" bottom="0.58" header="0.31496062992126" footer="0.31496062992126"/>
  <pageSetup paperSize="1" scale="85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D60"/>
  <sheetViews>
    <sheetView tabSelected="1" zoomScale="90" zoomScaleNormal="90" workbookViewId="0">
      <pane ySplit="4" topLeftCell="A5" activePane="bottomLeft" state="frozen"/>
      <selection/>
      <selection pane="bottomLeft" activeCell="K15" sqref="K15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" style="3" customWidth="1"/>
    <col min="6" max="7" width="11.4259259259259" style="3" customWidth="1"/>
    <col min="8" max="8" width="12.4259259259259" style="3" customWidth="1"/>
    <col min="9" max="10" width="11.4259259259259" style="7" customWidth="1"/>
    <col min="11" max="14" width="11.4259259259259" style="6" customWidth="1"/>
    <col min="15" max="15" width="11.1388888888889" style="6" customWidth="1"/>
    <col min="16" max="19" width="11.4259259259259" style="6" customWidth="1"/>
    <col min="20" max="24" width="11" style="6" customWidth="1"/>
    <col min="25" max="25" width="11.8518518518519" style="6" customWidth="1"/>
    <col min="26" max="26" width="13.712962962963" style="8" customWidth="1"/>
    <col min="27" max="27" width="13.5740740740741" style="9" customWidth="1"/>
    <col min="28" max="28" width="13.4259259259259" style="8" customWidth="1"/>
    <col min="29" max="29" width="19.5740740740741" style="4" customWidth="1"/>
    <col min="30" max="30" width="12.4259259259259" style="3" customWidth="1"/>
    <col min="31" max="16384" width="9.13888888888889" style="4"/>
  </cols>
  <sheetData>
    <row r="1" s="1" customFormat="1" customHeight="1" spans="1:30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10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6"/>
      <c r="AA1" s="27"/>
      <c r="AB1" s="28"/>
      <c r="AC1" s="29"/>
      <c r="AD1" s="30"/>
    </row>
    <row r="2" s="1" customFormat="1" customHeight="1" spans="1:30">
      <c r="A2" s="10" t="s">
        <v>92</v>
      </c>
      <c r="B2" s="10"/>
      <c r="C2" s="10"/>
      <c r="D2" s="10"/>
      <c r="E2" s="10"/>
      <c r="F2" s="10"/>
      <c r="G2" s="11"/>
      <c r="H2" s="11"/>
      <c r="I2" s="10"/>
      <c r="J2" s="10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6"/>
      <c r="AA2" s="27"/>
      <c r="AB2" s="28"/>
      <c r="AC2" s="29"/>
      <c r="AD2" s="30"/>
    </row>
    <row r="3" s="1" customFormat="1" customHeight="1" spans="1:30">
      <c r="A3" s="11" t="s">
        <v>93</v>
      </c>
      <c r="B3" s="11"/>
      <c r="C3" s="11"/>
      <c r="D3" s="11"/>
      <c r="E3" s="11"/>
      <c r="F3" s="11"/>
      <c r="G3" s="11"/>
      <c r="H3" s="11"/>
      <c r="I3" s="10"/>
      <c r="J3" s="10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6"/>
      <c r="AA3" s="27"/>
      <c r="AB3" s="28"/>
      <c r="AC3" s="29"/>
      <c r="AD3" s="30"/>
    </row>
    <row r="4" s="2" customFormat="1" ht="58" customHeight="1" spans="1:3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66</v>
      </c>
      <c r="I4" s="13" t="s">
        <v>68</v>
      </c>
      <c r="J4" s="13" t="s">
        <v>86</v>
      </c>
      <c r="K4" s="13" t="s">
        <v>11</v>
      </c>
      <c r="L4" s="13" t="s">
        <v>69</v>
      </c>
      <c r="M4" s="13" t="s">
        <v>70</v>
      </c>
      <c r="N4" s="13" t="s">
        <v>87</v>
      </c>
      <c r="O4" s="13" t="s">
        <v>12</v>
      </c>
      <c r="P4" s="13" t="s">
        <v>13</v>
      </c>
      <c r="Q4" s="13" t="s">
        <v>14</v>
      </c>
      <c r="R4" s="13" t="s">
        <v>71</v>
      </c>
      <c r="S4" s="13" t="s">
        <v>88</v>
      </c>
      <c r="T4" s="13" t="s">
        <v>15</v>
      </c>
      <c r="U4" s="13" t="s">
        <v>16</v>
      </c>
      <c r="V4" s="13" t="s">
        <v>17</v>
      </c>
      <c r="W4" s="13" t="s">
        <v>72</v>
      </c>
      <c r="X4" s="13" t="s">
        <v>89</v>
      </c>
      <c r="Y4" s="13" t="s">
        <v>18</v>
      </c>
      <c r="Z4" s="13" t="s">
        <v>73</v>
      </c>
      <c r="AA4" s="31" t="s">
        <v>20</v>
      </c>
      <c r="AB4" s="13" t="s">
        <v>21</v>
      </c>
      <c r="AC4" s="12" t="s">
        <v>74</v>
      </c>
      <c r="AD4" s="32"/>
    </row>
    <row r="5" customHeight="1" spans="1:29">
      <c r="A5" s="14">
        <v>1</v>
      </c>
      <c r="B5" s="14" t="s">
        <v>22</v>
      </c>
      <c r="C5" s="14">
        <v>6</v>
      </c>
      <c r="D5" s="15">
        <v>4500000</v>
      </c>
      <c r="E5" s="16">
        <v>225000</v>
      </c>
      <c r="F5" s="16">
        <v>75000</v>
      </c>
      <c r="G5" s="16">
        <v>0</v>
      </c>
      <c r="H5" s="16">
        <f>2600000+600000+800000</f>
        <v>4000000</v>
      </c>
      <c r="I5" s="21">
        <v>255000</v>
      </c>
      <c r="J5" s="21"/>
      <c r="K5" s="15">
        <v>1920000</v>
      </c>
      <c r="L5" s="15">
        <v>-382500</v>
      </c>
      <c r="M5" s="15"/>
      <c r="N5" s="15"/>
      <c r="O5" s="15"/>
      <c r="P5" s="15">
        <f>690000+847500</f>
        <v>1537500</v>
      </c>
      <c r="Q5" s="15">
        <v>0</v>
      </c>
      <c r="R5" s="15"/>
      <c r="S5" s="15"/>
      <c r="T5" s="15">
        <f t="shared" ref="T5:X5" si="0">O5*18%</f>
        <v>0</v>
      </c>
      <c r="U5" s="15">
        <f t="shared" si="0"/>
        <v>276750</v>
      </c>
      <c r="V5" s="15">
        <f t="shared" si="0"/>
        <v>0</v>
      </c>
      <c r="W5" s="15">
        <f t="shared" si="0"/>
        <v>0</v>
      </c>
      <c r="X5" s="15">
        <f t="shared" si="0"/>
        <v>0</v>
      </c>
      <c r="Y5" s="15">
        <f>9204</f>
        <v>9204</v>
      </c>
      <c r="Z5" s="33">
        <f t="shared" ref="Z5:Z57" si="1">E5+F5+G5+H5+I5+J5</f>
        <v>4555000</v>
      </c>
      <c r="AA5" s="15">
        <f t="shared" ref="AA5:AA57" si="2">Z5-K5-O5-P5-Y5-T5-U5-Q5-V5-L5-R5-W5-M5-N5-S5-X5</f>
        <v>1194046</v>
      </c>
      <c r="AB5" s="34">
        <f t="shared" ref="AB5:AB57" si="3">D5+T5+U5+Y5+V5-Z5+W5+X5</f>
        <v>230954</v>
      </c>
      <c r="AC5" s="14"/>
    </row>
    <row r="6" customHeight="1" spans="1:29">
      <c r="A6" s="14">
        <v>2</v>
      </c>
      <c r="B6" s="14" t="s">
        <v>23</v>
      </c>
      <c r="C6" s="14">
        <v>16</v>
      </c>
      <c r="D6" s="15">
        <v>4144000</v>
      </c>
      <c r="E6" s="16">
        <v>0</v>
      </c>
      <c r="F6" s="16">
        <v>0</v>
      </c>
      <c r="G6" s="16">
        <f>225000</f>
        <v>225000</v>
      </c>
      <c r="H6" s="16">
        <f>891600+976440</f>
        <v>1868040</v>
      </c>
      <c r="I6" s="21">
        <v>925480</v>
      </c>
      <c r="J6" s="21">
        <v>1508034</v>
      </c>
      <c r="K6" s="15"/>
      <c r="L6" s="15">
        <v>936000</v>
      </c>
      <c r="M6" s="15">
        <v>468000</v>
      </c>
      <c r="N6" s="15"/>
      <c r="O6" s="15"/>
      <c r="P6" s="15">
        <v>0</v>
      </c>
      <c r="Q6" s="15">
        <f>1386000-450000</f>
        <v>936000</v>
      </c>
      <c r="R6" s="15">
        <v>468000</v>
      </c>
      <c r="S6" s="15"/>
      <c r="T6" s="15">
        <f t="shared" ref="T6:X6" si="4">O6*18%</f>
        <v>0</v>
      </c>
      <c r="U6" s="15">
        <f t="shared" si="4"/>
        <v>0</v>
      </c>
      <c r="V6" s="15">
        <f t="shared" si="4"/>
        <v>168480</v>
      </c>
      <c r="W6" s="15">
        <f t="shared" si="4"/>
        <v>84240</v>
      </c>
      <c r="X6" s="15">
        <f t="shared" si="4"/>
        <v>0</v>
      </c>
      <c r="Y6" s="15">
        <v>9204</v>
      </c>
      <c r="Z6" s="33">
        <f t="shared" si="1"/>
        <v>4526554</v>
      </c>
      <c r="AA6" s="15">
        <f t="shared" si="2"/>
        <v>1456630</v>
      </c>
      <c r="AB6" s="34">
        <f t="shared" si="3"/>
        <v>-120630</v>
      </c>
      <c r="AC6" s="14"/>
    </row>
    <row r="7" customHeight="1" spans="1:29">
      <c r="A7" s="14">
        <v>3</v>
      </c>
      <c r="B7" s="14" t="s">
        <v>40</v>
      </c>
      <c r="C7" s="14">
        <v>18</v>
      </c>
      <c r="D7" s="15">
        <v>7500000</v>
      </c>
      <c r="E7" s="16"/>
      <c r="F7" s="16"/>
      <c r="G7" s="16"/>
      <c r="H7" s="16"/>
      <c r="I7" s="21">
        <v>2525000</v>
      </c>
      <c r="J7" s="21">
        <v>3610000</v>
      </c>
      <c r="K7" s="15"/>
      <c r="L7" s="15"/>
      <c r="M7" s="15">
        <v>0</v>
      </c>
      <c r="N7" s="15">
        <f>887500+887500+887500</f>
        <v>2662500</v>
      </c>
      <c r="O7" s="15"/>
      <c r="P7" s="15"/>
      <c r="Q7" s="15"/>
      <c r="R7" s="15">
        <v>0</v>
      </c>
      <c r="S7" s="15">
        <f>887500+887500+887500</f>
        <v>2662500</v>
      </c>
      <c r="T7" s="15"/>
      <c r="U7" s="15"/>
      <c r="V7" s="15"/>
      <c r="W7" s="15">
        <f>R7*18%</f>
        <v>0</v>
      </c>
      <c r="X7" s="15">
        <f>S7*18%</f>
        <v>479250</v>
      </c>
      <c r="Y7" s="15">
        <v>0</v>
      </c>
      <c r="Z7" s="33">
        <f t="shared" si="1"/>
        <v>6135000</v>
      </c>
      <c r="AA7" s="15">
        <f t="shared" si="2"/>
        <v>330750</v>
      </c>
      <c r="AB7" s="34">
        <f t="shared" si="3"/>
        <v>1844250</v>
      </c>
      <c r="AC7" s="14"/>
    </row>
    <row r="8" customHeight="1" spans="1:29">
      <c r="A8" s="14">
        <v>4</v>
      </c>
      <c r="B8" s="14" t="s">
        <v>25</v>
      </c>
      <c r="C8" s="14">
        <v>19</v>
      </c>
      <c r="D8" s="15">
        <v>4500000</v>
      </c>
      <c r="E8" s="16"/>
      <c r="F8" s="16"/>
      <c r="G8" s="16"/>
      <c r="H8" s="16">
        <v>0</v>
      </c>
      <c r="I8" s="21">
        <v>4500000</v>
      </c>
      <c r="J8" s="21"/>
      <c r="K8" s="15">
        <v>0</v>
      </c>
      <c r="L8" s="15">
        <v>512500</v>
      </c>
      <c r="M8" s="15">
        <v>512500</v>
      </c>
      <c r="N8" s="15">
        <v>512500</v>
      </c>
      <c r="O8" s="15"/>
      <c r="P8" s="15"/>
      <c r="Q8" s="15">
        <v>512500</v>
      </c>
      <c r="R8" s="15">
        <v>512500</v>
      </c>
      <c r="S8" s="15">
        <v>512500</v>
      </c>
      <c r="T8" s="15">
        <f t="shared" ref="T8:X8" si="5">O8*18%</f>
        <v>0</v>
      </c>
      <c r="U8" s="15">
        <f t="shared" si="5"/>
        <v>0</v>
      </c>
      <c r="V8" s="15">
        <f t="shared" si="5"/>
        <v>92250</v>
      </c>
      <c r="W8" s="15">
        <f t="shared" si="5"/>
        <v>92250</v>
      </c>
      <c r="X8" s="15">
        <f t="shared" si="5"/>
        <v>92250</v>
      </c>
      <c r="Y8" s="15">
        <v>0</v>
      </c>
      <c r="Z8" s="33">
        <f t="shared" si="1"/>
        <v>4500000</v>
      </c>
      <c r="AA8" s="15">
        <f t="shared" si="2"/>
        <v>1148250</v>
      </c>
      <c r="AB8" s="34">
        <f t="shared" si="3"/>
        <v>276750</v>
      </c>
      <c r="AC8" s="14"/>
    </row>
    <row r="9" customHeight="1" spans="1:29">
      <c r="A9" s="14">
        <v>5</v>
      </c>
      <c r="B9" s="14" t="s">
        <v>26</v>
      </c>
      <c r="C9" s="14">
        <v>21</v>
      </c>
      <c r="D9" s="15">
        <v>3600000</v>
      </c>
      <c r="E9" s="16">
        <f>25000+150000</f>
        <v>175000</v>
      </c>
      <c r="F9" s="16">
        <f>100000+180000+40000+200000+105000+200000+1200000</f>
        <v>2025000</v>
      </c>
      <c r="G9" s="16">
        <f>200000+150000+300000</f>
        <v>650000</v>
      </c>
      <c r="H9" s="16">
        <f>126000+550000</f>
        <v>676000</v>
      </c>
      <c r="I9" s="21"/>
      <c r="J9" s="21">
        <v>555625</v>
      </c>
      <c r="K9" s="15">
        <v>1800000</v>
      </c>
      <c r="L9" s="15">
        <v>-600000</v>
      </c>
      <c r="M9" s="15"/>
      <c r="N9" s="15">
        <v>600000</v>
      </c>
      <c r="O9" s="15">
        <v>1073000</v>
      </c>
      <c r="P9" s="15">
        <v>127000</v>
      </c>
      <c r="Q9" s="15">
        <v>0</v>
      </c>
      <c r="R9" s="15"/>
      <c r="S9" s="15">
        <f>600000+42372.88</f>
        <v>642372.88</v>
      </c>
      <c r="T9" s="15">
        <f t="shared" ref="T9:X9" si="6">O9*18%</f>
        <v>193140</v>
      </c>
      <c r="U9" s="15">
        <f t="shared" si="6"/>
        <v>22860</v>
      </c>
      <c r="V9" s="15">
        <f t="shared" si="6"/>
        <v>0</v>
      </c>
      <c r="W9" s="15">
        <f t="shared" si="6"/>
        <v>0</v>
      </c>
      <c r="X9" s="15">
        <f t="shared" si="6"/>
        <v>115627.1184</v>
      </c>
      <c r="Y9" s="15">
        <f>10620+9204+75440</f>
        <v>95264</v>
      </c>
      <c r="Z9" s="33">
        <f t="shared" si="1"/>
        <v>4081625</v>
      </c>
      <c r="AA9" s="15">
        <f t="shared" si="2"/>
        <v>12361.0016</v>
      </c>
      <c r="AB9" s="34">
        <f t="shared" si="3"/>
        <v>-54733.8816</v>
      </c>
      <c r="AC9" s="14"/>
    </row>
    <row r="10" customHeight="1" spans="1:29">
      <c r="A10" s="14">
        <v>6</v>
      </c>
      <c r="B10" s="14" t="s">
        <v>27</v>
      </c>
      <c r="C10" s="14">
        <v>22</v>
      </c>
      <c r="D10" s="15">
        <v>3600000</v>
      </c>
      <c r="E10" s="16">
        <f>25000+200000</f>
        <v>225000</v>
      </c>
      <c r="F10" s="16">
        <f>250000+200000</f>
        <v>450000</v>
      </c>
      <c r="G10" s="16">
        <f>460000+2400000</f>
        <v>2860000</v>
      </c>
      <c r="H10" s="16">
        <f>480000+101263</f>
        <v>581263</v>
      </c>
      <c r="I10" s="21">
        <v>7500</v>
      </c>
      <c r="J10" s="21">
        <v>7500</v>
      </c>
      <c r="K10" s="15">
        <v>1800000</v>
      </c>
      <c r="L10" s="15"/>
      <c r="M10" s="15"/>
      <c r="N10" s="15"/>
      <c r="O10" s="15">
        <v>1073000</v>
      </c>
      <c r="P10" s="15">
        <v>127000</v>
      </c>
      <c r="Q10" s="15">
        <v>600000</v>
      </c>
      <c r="R10" s="15"/>
      <c r="S10" s="15"/>
      <c r="T10" s="15">
        <f t="shared" ref="T10:X10" si="7">O10*18%</f>
        <v>193140</v>
      </c>
      <c r="U10" s="15">
        <f t="shared" si="7"/>
        <v>22860</v>
      </c>
      <c r="V10" s="15">
        <f t="shared" si="7"/>
        <v>108000</v>
      </c>
      <c r="W10" s="15">
        <f t="shared" si="7"/>
        <v>0</v>
      </c>
      <c r="X10" s="15">
        <f t="shared" si="7"/>
        <v>0</v>
      </c>
      <c r="Y10" s="15">
        <f>1800+133850+390+30000+50+16709+9375+3750+3839+7500</f>
        <v>207263</v>
      </c>
      <c r="Z10" s="33">
        <f t="shared" si="1"/>
        <v>4131263</v>
      </c>
      <c r="AA10" s="15">
        <f t="shared" si="2"/>
        <v>0</v>
      </c>
      <c r="AB10" s="34">
        <f t="shared" si="3"/>
        <v>0</v>
      </c>
      <c r="AC10" s="14" t="s">
        <v>75</v>
      </c>
    </row>
    <row r="11" customHeight="1" spans="1:29">
      <c r="A11" s="14">
        <v>7</v>
      </c>
      <c r="B11" s="14" t="s">
        <v>43</v>
      </c>
      <c r="C11" s="14">
        <v>24</v>
      </c>
      <c r="D11" s="15">
        <v>6000000</v>
      </c>
      <c r="E11" s="16"/>
      <c r="F11" s="16"/>
      <c r="G11" s="16"/>
      <c r="H11" s="16"/>
      <c r="I11" s="21">
        <v>6245000</v>
      </c>
      <c r="J11" s="21"/>
      <c r="K11" s="15"/>
      <c r="L11" s="15"/>
      <c r="M11" s="15">
        <v>1400000</v>
      </c>
      <c r="N11" s="15">
        <v>700000</v>
      </c>
      <c r="O11" s="15"/>
      <c r="P11" s="15"/>
      <c r="Q11" s="15"/>
      <c r="R11" s="15">
        <v>1400000</v>
      </c>
      <c r="S11" s="15">
        <v>700000</v>
      </c>
      <c r="T11" s="15"/>
      <c r="U11" s="15"/>
      <c r="V11" s="15"/>
      <c r="W11" s="15">
        <f>R11*18%</f>
        <v>252000</v>
      </c>
      <c r="X11" s="15">
        <f>S11*18%</f>
        <v>126000</v>
      </c>
      <c r="Y11" s="15">
        <v>0</v>
      </c>
      <c r="Z11" s="33">
        <f t="shared" si="1"/>
        <v>6245000</v>
      </c>
      <c r="AA11" s="15">
        <f t="shared" si="2"/>
        <v>1667000</v>
      </c>
      <c r="AB11" s="34">
        <f t="shared" si="3"/>
        <v>133000</v>
      </c>
      <c r="AC11" s="14"/>
    </row>
    <row r="12" customHeight="1" spans="1:29">
      <c r="A12" s="14">
        <v>8</v>
      </c>
      <c r="B12" s="14" t="s">
        <v>25</v>
      </c>
      <c r="C12" s="14">
        <v>25</v>
      </c>
      <c r="D12" s="15">
        <v>4500000</v>
      </c>
      <c r="E12" s="16"/>
      <c r="F12" s="16"/>
      <c r="G12" s="16"/>
      <c r="H12" s="16"/>
      <c r="I12" s="16">
        <v>4500000</v>
      </c>
      <c r="J12" s="21"/>
      <c r="K12" s="15"/>
      <c r="L12" s="15">
        <v>512500</v>
      </c>
      <c r="M12" s="15">
        <v>512500</v>
      </c>
      <c r="N12" s="15">
        <v>512500</v>
      </c>
      <c r="O12" s="15"/>
      <c r="P12" s="15"/>
      <c r="Q12" s="15">
        <v>512500</v>
      </c>
      <c r="R12" s="15">
        <v>512500</v>
      </c>
      <c r="S12" s="15">
        <v>512500</v>
      </c>
      <c r="T12" s="15">
        <f t="shared" ref="T12:X12" si="8">O12*18%</f>
        <v>0</v>
      </c>
      <c r="U12" s="15">
        <f t="shared" si="8"/>
        <v>0</v>
      </c>
      <c r="V12" s="15">
        <f t="shared" si="8"/>
        <v>92250</v>
      </c>
      <c r="W12" s="15">
        <f t="shared" si="8"/>
        <v>92250</v>
      </c>
      <c r="X12" s="15">
        <f t="shared" si="8"/>
        <v>92250</v>
      </c>
      <c r="Y12" s="15"/>
      <c r="Z12" s="33">
        <f t="shared" si="1"/>
        <v>4500000</v>
      </c>
      <c r="AA12" s="15">
        <f t="shared" si="2"/>
        <v>1148250</v>
      </c>
      <c r="AB12" s="34">
        <f t="shared" si="3"/>
        <v>276750</v>
      </c>
      <c r="AC12" s="14"/>
    </row>
    <row r="13" customHeight="1" spans="1:29">
      <c r="A13" s="14">
        <v>9</v>
      </c>
      <c r="B13" s="14" t="s">
        <v>28</v>
      </c>
      <c r="C13" s="14">
        <v>29</v>
      </c>
      <c r="D13" s="15">
        <v>4200000</v>
      </c>
      <c r="E13" s="16">
        <v>0</v>
      </c>
      <c r="F13" s="16">
        <v>0</v>
      </c>
      <c r="G13" s="16">
        <f>225000+630000+943500</f>
        <v>1798500</v>
      </c>
      <c r="H13" s="16">
        <f>943500+629000</f>
        <v>1572500</v>
      </c>
      <c r="I13" s="21">
        <f>200000+100000+345000+378000+184000</f>
        <v>1207000</v>
      </c>
      <c r="J13" s="21">
        <v>81508</v>
      </c>
      <c r="K13" s="15"/>
      <c r="L13" s="15">
        <v>1425000</v>
      </c>
      <c r="M13" s="15"/>
      <c r="N13" s="15">
        <v>675000</v>
      </c>
      <c r="O13" s="15"/>
      <c r="P13" s="15">
        <f>950000</f>
        <v>950000</v>
      </c>
      <c r="Q13" s="15">
        <v>475000</v>
      </c>
      <c r="R13" s="15"/>
      <c r="S13" s="15">
        <f>475000+200000+16262</f>
        <v>691262</v>
      </c>
      <c r="T13" s="15">
        <f t="shared" ref="T13:X13" si="9">O13*18%</f>
        <v>0</v>
      </c>
      <c r="U13" s="15">
        <f t="shared" si="9"/>
        <v>171000</v>
      </c>
      <c r="V13" s="15">
        <f t="shared" si="9"/>
        <v>85500</v>
      </c>
      <c r="W13" s="15">
        <f t="shared" si="9"/>
        <v>0</v>
      </c>
      <c r="X13" s="15">
        <f t="shared" si="9"/>
        <v>124427.16</v>
      </c>
      <c r="Y13" s="15">
        <f>9204+53115</f>
        <v>62319</v>
      </c>
      <c r="Z13" s="33">
        <f t="shared" si="1"/>
        <v>4659508</v>
      </c>
      <c r="AA13" s="15">
        <f t="shared" si="2"/>
        <v>-0.159999999988941</v>
      </c>
      <c r="AB13" s="34">
        <f t="shared" si="3"/>
        <v>-16261.84</v>
      </c>
      <c r="AC13" s="14"/>
    </row>
    <row r="14" customHeight="1" spans="1:29">
      <c r="A14" s="14">
        <v>10</v>
      </c>
      <c r="B14" s="14" t="s">
        <v>29</v>
      </c>
      <c r="C14" s="14">
        <v>30</v>
      </c>
      <c r="D14" s="15">
        <v>3700000</v>
      </c>
      <c r="E14" s="16">
        <f t="shared" ref="E14:E19" si="10">25000+200000</f>
        <v>225000</v>
      </c>
      <c r="F14" s="16">
        <f>400000+155000+816000+816000</f>
        <v>2187000</v>
      </c>
      <c r="G14" s="16">
        <v>0</v>
      </c>
      <c r="H14" s="16">
        <f>544000+544000</f>
        <v>1088000</v>
      </c>
      <c r="I14" s="21">
        <f>200000+253000+130894</f>
        <v>583894</v>
      </c>
      <c r="J14" s="21">
        <v>18550</v>
      </c>
      <c r="K14" s="15">
        <v>1596000</v>
      </c>
      <c r="L14" s="15">
        <v>-358500</v>
      </c>
      <c r="M14" s="15">
        <v>612500</v>
      </c>
      <c r="N14" s="15"/>
      <c r="O14" s="15"/>
      <c r="P14" s="15">
        <f>562000+263000+412500</f>
        <v>1237500</v>
      </c>
      <c r="Q14" s="15">
        <v>0</v>
      </c>
      <c r="R14" s="15">
        <f>612500</f>
        <v>612500</v>
      </c>
      <c r="S14" s="15"/>
      <c r="T14" s="15">
        <f t="shared" ref="T14:X14" si="11">O14*18%</f>
        <v>0</v>
      </c>
      <c r="U14" s="15">
        <f t="shared" si="11"/>
        <v>222750</v>
      </c>
      <c r="V14" s="15">
        <f t="shared" si="11"/>
        <v>0</v>
      </c>
      <c r="W14" s="15">
        <f t="shared" si="11"/>
        <v>110250</v>
      </c>
      <c r="X14" s="15">
        <f t="shared" si="11"/>
        <v>0</v>
      </c>
      <c r="Y14" s="15">
        <f>9204+41690+18550</f>
        <v>69444</v>
      </c>
      <c r="Z14" s="33">
        <f t="shared" si="1"/>
        <v>4102444</v>
      </c>
      <c r="AA14" s="15">
        <f t="shared" si="2"/>
        <v>0</v>
      </c>
      <c r="AB14" s="34">
        <f t="shared" si="3"/>
        <v>0</v>
      </c>
      <c r="AC14" s="14" t="s">
        <v>75</v>
      </c>
    </row>
    <row r="15" customHeight="1" spans="1:29">
      <c r="A15" s="14">
        <v>11</v>
      </c>
      <c r="B15" s="14" t="s">
        <v>30</v>
      </c>
      <c r="C15" s="14">
        <v>31</v>
      </c>
      <c r="D15" s="15">
        <v>4200000</v>
      </c>
      <c r="E15" s="16">
        <v>0</v>
      </c>
      <c r="F15" s="16">
        <v>0</v>
      </c>
      <c r="G15" s="16">
        <f>225000</f>
        <v>225000</v>
      </c>
      <c r="H15" s="16">
        <f>630000+2496000</f>
        <v>3126000</v>
      </c>
      <c r="I15" s="21">
        <v>0</v>
      </c>
      <c r="J15" s="21">
        <v>1079000</v>
      </c>
      <c r="K15" s="15"/>
      <c r="L15" s="15">
        <v>1425000</v>
      </c>
      <c r="M15" s="15"/>
      <c r="N15" s="15">
        <v>475000</v>
      </c>
      <c r="O15" s="15"/>
      <c r="P15" s="15">
        <f>475000+475000</f>
        <v>950000</v>
      </c>
      <c r="Q15" s="15">
        <v>475000</v>
      </c>
      <c r="R15" s="15"/>
      <c r="S15" s="15">
        <v>475000</v>
      </c>
      <c r="T15" s="15">
        <f t="shared" ref="T15:X15" si="12">O15*18%</f>
        <v>0</v>
      </c>
      <c r="U15" s="15">
        <f t="shared" si="12"/>
        <v>171000</v>
      </c>
      <c r="V15" s="15">
        <f t="shared" si="12"/>
        <v>85500</v>
      </c>
      <c r="W15" s="15">
        <f t="shared" si="12"/>
        <v>0</v>
      </c>
      <c r="X15" s="15">
        <f t="shared" si="12"/>
        <v>85500</v>
      </c>
      <c r="Y15" s="15">
        <v>9204</v>
      </c>
      <c r="Z15" s="33">
        <f t="shared" si="1"/>
        <v>4430000</v>
      </c>
      <c r="AA15" s="15">
        <f t="shared" si="2"/>
        <v>278796</v>
      </c>
      <c r="AB15" s="34">
        <f t="shared" si="3"/>
        <v>121204</v>
      </c>
      <c r="AC15" s="14"/>
    </row>
    <row r="16" customHeight="1" spans="1:29">
      <c r="A16" s="14">
        <v>12</v>
      </c>
      <c r="B16" s="14" t="s">
        <v>31</v>
      </c>
      <c r="C16" s="14">
        <v>32</v>
      </c>
      <c r="D16" s="15">
        <v>5325000</v>
      </c>
      <c r="E16" s="16">
        <f t="shared" si="10"/>
        <v>225000</v>
      </c>
      <c r="F16" s="16">
        <f>300000+480000</f>
        <v>780000</v>
      </c>
      <c r="G16" s="16">
        <f>1080000+108816+250000+250000+673625+2662500</f>
        <v>5024941</v>
      </c>
      <c r="H16" s="16">
        <v>0</v>
      </c>
      <c r="I16" s="21">
        <v>91796</v>
      </c>
      <c r="J16" s="21"/>
      <c r="K16" s="15">
        <v>2662500</v>
      </c>
      <c r="L16" s="15">
        <v>-815625</v>
      </c>
      <c r="M16" s="15">
        <v>574168</v>
      </c>
      <c r="N16" s="15"/>
      <c r="O16" s="15">
        <v>1642250</v>
      </c>
      <c r="P16" s="15">
        <v>204625</v>
      </c>
      <c r="Q16" s="15">
        <v>0</v>
      </c>
      <c r="R16" s="15">
        <v>1020250</v>
      </c>
      <c r="S16" s="15"/>
      <c r="T16" s="15">
        <f t="shared" ref="T16:X16" si="13">O16*18%</f>
        <v>295605</v>
      </c>
      <c r="U16" s="15">
        <f t="shared" si="13"/>
        <v>36832.5</v>
      </c>
      <c r="V16" s="15">
        <f t="shared" si="13"/>
        <v>0</v>
      </c>
      <c r="W16" s="15">
        <f t="shared" si="13"/>
        <v>183645</v>
      </c>
      <c r="X16" s="15">
        <f t="shared" si="13"/>
        <v>0</v>
      </c>
      <c r="Y16" s="15">
        <f>196897+30000+21110+390+67686+1404</f>
        <v>317487</v>
      </c>
      <c r="Z16" s="33">
        <f t="shared" si="1"/>
        <v>6121737</v>
      </c>
      <c r="AA16" s="15">
        <f t="shared" si="2"/>
        <v>-0.5</v>
      </c>
      <c r="AB16" s="34">
        <f t="shared" si="3"/>
        <v>36832.5</v>
      </c>
      <c r="AC16" s="14" t="s">
        <v>75</v>
      </c>
    </row>
    <row r="17" s="3" customFormat="1" customHeight="1" spans="1:29">
      <c r="A17" s="14">
        <v>13</v>
      </c>
      <c r="B17" s="14" t="s">
        <v>32</v>
      </c>
      <c r="C17" s="14">
        <v>33</v>
      </c>
      <c r="D17" s="15">
        <v>4250000</v>
      </c>
      <c r="E17" s="16">
        <v>0</v>
      </c>
      <c r="F17" s="16">
        <v>0</v>
      </c>
      <c r="G17" s="16">
        <f>250000</f>
        <v>250000</v>
      </c>
      <c r="H17" s="16">
        <f>605000+956250+1356554+637500</f>
        <v>3555304</v>
      </c>
      <c r="I17" s="21">
        <f>837500+55670</f>
        <v>893170</v>
      </c>
      <c r="J17" s="21"/>
      <c r="K17" s="15">
        <v>0</v>
      </c>
      <c r="L17" s="15">
        <v>1443750</v>
      </c>
      <c r="M17" s="15">
        <v>681250</v>
      </c>
      <c r="N17" s="15"/>
      <c r="O17" s="15"/>
      <c r="P17" s="15">
        <v>0</v>
      </c>
      <c r="Q17" s="15">
        <f>481250+481250+481250</f>
        <v>1443750</v>
      </c>
      <c r="R17" s="15">
        <v>681250</v>
      </c>
      <c r="S17" s="15"/>
      <c r="T17" s="15">
        <f t="shared" ref="T17:X17" si="14">O17*18%</f>
        <v>0</v>
      </c>
      <c r="U17" s="15">
        <f t="shared" si="14"/>
        <v>0</v>
      </c>
      <c r="V17" s="15">
        <f t="shared" si="14"/>
        <v>259875</v>
      </c>
      <c r="W17" s="15">
        <f t="shared" si="14"/>
        <v>122625</v>
      </c>
      <c r="X17" s="15">
        <f t="shared" si="14"/>
        <v>0</v>
      </c>
      <c r="Y17" s="15">
        <f>9204+41300+15080+390</f>
        <v>65974</v>
      </c>
      <c r="Z17" s="33">
        <f t="shared" si="1"/>
        <v>4698474</v>
      </c>
      <c r="AA17" s="15">
        <f t="shared" si="2"/>
        <v>0</v>
      </c>
      <c r="AB17" s="34">
        <f t="shared" si="3"/>
        <v>0</v>
      </c>
      <c r="AC17" s="14" t="s">
        <v>77</v>
      </c>
    </row>
    <row r="18" s="3" customFormat="1" customHeight="1" spans="1:29">
      <c r="A18" s="14">
        <v>14</v>
      </c>
      <c r="B18" s="14" t="s">
        <v>33</v>
      </c>
      <c r="C18" s="14">
        <v>34</v>
      </c>
      <c r="D18" s="15">
        <v>3750000</v>
      </c>
      <c r="E18" s="16">
        <f>250000+250000+200000</f>
        <v>700000</v>
      </c>
      <c r="F18" s="16">
        <v>0</v>
      </c>
      <c r="G18" s="16">
        <v>0</v>
      </c>
      <c r="H18" s="16">
        <f>917000+828000+527500</f>
        <v>2272500</v>
      </c>
      <c r="I18" s="21">
        <f>525500+539500+123346</f>
        <v>1188346</v>
      </c>
      <c r="J18" s="21"/>
      <c r="K18" s="15">
        <v>787500</v>
      </c>
      <c r="L18" s="15">
        <v>468750</v>
      </c>
      <c r="M18" s="15">
        <v>618750</v>
      </c>
      <c r="N18" s="15"/>
      <c r="O18" s="15"/>
      <c r="P18" s="15"/>
      <c r="Q18" s="15">
        <f>481250+481250+481250-187500</f>
        <v>1256250</v>
      </c>
      <c r="R18" s="15">
        <f>618750</f>
        <v>618750</v>
      </c>
      <c r="S18" s="15"/>
      <c r="T18" s="15">
        <f t="shared" ref="T18:X18" si="15">O18*18%</f>
        <v>0</v>
      </c>
      <c r="U18" s="15">
        <f t="shared" si="15"/>
        <v>0</v>
      </c>
      <c r="V18" s="15">
        <f t="shared" si="15"/>
        <v>226125</v>
      </c>
      <c r="W18" s="15">
        <f t="shared" si="15"/>
        <v>111375</v>
      </c>
      <c r="X18" s="15">
        <f t="shared" si="15"/>
        <v>0</v>
      </c>
      <c r="Y18" s="15">
        <f>9204+41690+22452</f>
        <v>73346</v>
      </c>
      <c r="Z18" s="33">
        <f t="shared" si="1"/>
        <v>4160846</v>
      </c>
      <c r="AA18" s="15">
        <f t="shared" si="2"/>
        <v>0</v>
      </c>
      <c r="AB18" s="34">
        <f t="shared" si="3"/>
        <v>0</v>
      </c>
      <c r="AC18" s="14" t="s">
        <v>75</v>
      </c>
    </row>
    <row r="19" s="3" customFormat="1" customHeight="1" spans="1:29">
      <c r="A19" s="14">
        <v>15</v>
      </c>
      <c r="B19" s="14" t="s">
        <v>34</v>
      </c>
      <c r="C19" s="14">
        <v>35</v>
      </c>
      <c r="D19" s="15">
        <v>3700000</v>
      </c>
      <c r="E19" s="16">
        <f t="shared" si="10"/>
        <v>225000</v>
      </c>
      <c r="F19" s="16">
        <f>275000+1912000</f>
        <v>2187000</v>
      </c>
      <c r="G19" s="16">
        <v>544000</v>
      </c>
      <c r="H19" s="16">
        <f>284000+250000</f>
        <v>534000</v>
      </c>
      <c r="I19" s="21">
        <v>50000</v>
      </c>
      <c r="J19" s="21">
        <v>333000</v>
      </c>
      <c r="K19" s="15">
        <v>1850000</v>
      </c>
      <c r="L19" s="15">
        <v>-612500</v>
      </c>
      <c r="M19" s="15">
        <v>0</v>
      </c>
      <c r="N19" s="15"/>
      <c r="O19" s="15">
        <v>1106000</v>
      </c>
      <c r="P19" s="15">
        <f>53437+78063</f>
        <v>131500</v>
      </c>
      <c r="Q19" s="15">
        <v>0</v>
      </c>
      <c r="R19" s="15"/>
      <c r="S19" s="15"/>
      <c r="T19" s="15">
        <f t="shared" ref="T19:V19" si="16">O19*18%</f>
        <v>199080</v>
      </c>
      <c r="U19" s="15">
        <f t="shared" si="16"/>
        <v>23670</v>
      </c>
      <c r="V19" s="15">
        <f t="shared" si="16"/>
        <v>0</v>
      </c>
      <c r="W19" s="15">
        <v>0</v>
      </c>
      <c r="X19" s="15">
        <f>S19*18%</f>
        <v>0</v>
      </c>
      <c r="Y19" s="15">
        <v>9204</v>
      </c>
      <c r="Z19" s="33">
        <f t="shared" si="1"/>
        <v>3873000</v>
      </c>
      <c r="AA19" s="15">
        <f t="shared" si="2"/>
        <v>1166046</v>
      </c>
      <c r="AB19" s="34">
        <f t="shared" si="3"/>
        <v>58954</v>
      </c>
      <c r="AC19" s="14"/>
    </row>
    <row r="20" s="3" customFormat="1" customHeight="1" spans="1:29">
      <c r="A20" s="14">
        <v>16</v>
      </c>
      <c r="B20" s="14" t="s">
        <v>35</v>
      </c>
      <c r="C20" s="14">
        <v>37</v>
      </c>
      <c r="D20" s="15">
        <v>3700000</v>
      </c>
      <c r="E20" s="16">
        <f>25000+200000+555000</f>
        <v>780000</v>
      </c>
      <c r="F20" s="16">
        <f>200000+600000+600000</f>
        <v>1400000</v>
      </c>
      <c r="G20" s="16">
        <f>500000+200000</f>
        <v>700000</v>
      </c>
      <c r="H20" s="16">
        <v>400000</v>
      </c>
      <c r="I20" s="21">
        <f>100000+200000</f>
        <v>300000</v>
      </c>
      <c r="J20" s="21">
        <v>552080</v>
      </c>
      <c r="K20" s="15">
        <v>1850000</v>
      </c>
      <c r="L20" s="15">
        <v>-612500</v>
      </c>
      <c r="M20" s="15"/>
      <c r="N20" s="15">
        <v>612500</v>
      </c>
      <c r="O20" s="15">
        <f>1106000-281000</f>
        <v>825000</v>
      </c>
      <c r="P20" s="15">
        <f>412500</f>
        <v>412500</v>
      </c>
      <c r="Q20" s="15">
        <v>0</v>
      </c>
      <c r="R20" s="15"/>
      <c r="S20" s="25">
        <f>12240+612500</f>
        <v>624740</v>
      </c>
      <c r="T20" s="15">
        <f t="shared" ref="T20:X20" si="17">O20*18%</f>
        <v>148500</v>
      </c>
      <c r="U20" s="15">
        <f t="shared" si="17"/>
        <v>74250</v>
      </c>
      <c r="V20" s="15">
        <f t="shared" si="17"/>
        <v>0</v>
      </c>
      <c r="W20" s="15">
        <f t="shared" si="17"/>
        <v>0</v>
      </c>
      <c r="X20" s="15">
        <f t="shared" si="17"/>
        <v>112453.2</v>
      </c>
      <c r="Y20" s="15">
        <v>84998</v>
      </c>
      <c r="Z20" s="33">
        <f t="shared" si="1"/>
        <v>4132080</v>
      </c>
      <c r="AA20" s="15">
        <f t="shared" si="2"/>
        <v>-361.199999999997</v>
      </c>
      <c r="AB20" s="34">
        <f t="shared" si="3"/>
        <v>-11878.8</v>
      </c>
      <c r="AC20" s="14"/>
    </row>
    <row r="21" s="3" customFormat="1" customHeight="1" spans="1:29">
      <c r="A21" s="14">
        <v>17</v>
      </c>
      <c r="B21" s="14" t="s">
        <v>36</v>
      </c>
      <c r="C21" s="14">
        <v>38</v>
      </c>
      <c r="D21" s="15">
        <v>4000000</v>
      </c>
      <c r="E21" s="16">
        <v>0</v>
      </c>
      <c r="F21" s="16">
        <v>0</v>
      </c>
      <c r="G21" s="16">
        <v>225000</v>
      </c>
      <c r="H21" s="16">
        <f>1790000+892500</f>
        <v>2682500</v>
      </c>
      <c r="I21" s="21">
        <v>600000</v>
      </c>
      <c r="J21" s="21"/>
      <c r="K21" s="15"/>
      <c r="L21" s="15">
        <v>1350000</v>
      </c>
      <c r="M21" s="15"/>
      <c r="N21" s="15"/>
      <c r="O21" s="15"/>
      <c r="P21" s="15">
        <f>543750-93750</f>
        <v>450000</v>
      </c>
      <c r="Q21" s="15">
        <f>450000+450000</f>
        <v>900000</v>
      </c>
      <c r="R21" s="15"/>
      <c r="S21" s="15"/>
      <c r="T21" s="15">
        <f t="shared" ref="T21:X21" si="18">O21*18%</f>
        <v>0</v>
      </c>
      <c r="U21" s="15">
        <f t="shared" si="18"/>
        <v>81000</v>
      </c>
      <c r="V21" s="15">
        <f t="shared" si="18"/>
        <v>162000</v>
      </c>
      <c r="W21" s="15">
        <f t="shared" si="18"/>
        <v>0</v>
      </c>
      <c r="X21" s="15">
        <f t="shared" si="18"/>
        <v>0</v>
      </c>
      <c r="Y21" s="15">
        <v>0</v>
      </c>
      <c r="Z21" s="33">
        <f t="shared" si="1"/>
        <v>3507500</v>
      </c>
      <c r="AA21" s="15">
        <f t="shared" si="2"/>
        <v>564500</v>
      </c>
      <c r="AB21" s="34">
        <f t="shared" si="3"/>
        <v>735500</v>
      </c>
      <c r="AC21" s="14"/>
    </row>
    <row r="22" s="3" customFormat="1" customHeight="1" spans="1:29">
      <c r="A22" s="14">
        <v>18</v>
      </c>
      <c r="B22" s="14" t="s">
        <v>37</v>
      </c>
      <c r="C22" s="14">
        <v>39</v>
      </c>
      <c r="D22" s="15">
        <v>3750000</v>
      </c>
      <c r="E22" s="16">
        <v>0</v>
      </c>
      <c r="F22" s="16">
        <v>0</v>
      </c>
      <c r="G22" s="16">
        <f>225000+940000</f>
        <v>1165000</v>
      </c>
      <c r="H22" s="16">
        <f>500000+500000+500000</f>
        <v>1500000</v>
      </c>
      <c r="I22" s="21">
        <f>300000+250000</f>
        <v>550000</v>
      </c>
      <c r="J22" s="21">
        <f>216000+319000</f>
        <v>535000</v>
      </c>
      <c r="K22" s="15"/>
      <c r="L22" s="15">
        <v>1256250</v>
      </c>
      <c r="M22" s="15"/>
      <c r="N22" s="15"/>
      <c r="O22" s="15"/>
      <c r="P22" s="15">
        <f>418750</f>
        <v>418750</v>
      </c>
      <c r="Q22" s="15">
        <f>418750+418750</f>
        <v>837500</v>
      </c>
      <c r="R22" s="15"/>
      <c r="S22" s="15"/>
      <c r="T22" s="15">
        <f t="shared" ref="T22:X22" si="19">O22*18%</f>
        <v>0</v>
      </c>
      <c r="U22" s="15">
        <f t="shared" si="19"/>
        <v>75375</v>
      </c>
      <c r="V22" s="15">
        <f t="shared" si="19"/>
        <v>150750</v>
      </c>
      <c r="W22" s="15">
        <f t="shared" si="19"/>
        <v>0</v>
      </c>
      <c r="X22" s="15">
        <f t="shared" si="19"/>
        <v>0</v>
      </c>
      <c r="Y22" s="15">
        <v>0</v>
      </c>
      <c r="Z22" s="33">
        <f t="shared" si="1"/>
        <v>3750000</v>
      </c>
      <c r="AA22" s="15">
        <f t="shared" si="2"/>
        <v>1011375</v>
      </c>
      <c r="AB22" s="34">
        <f t="shared" si="3"/>
        <v>226125</v>
      </c>
      <c r="AC22" s="14"/>
    </row>
    <row r="23" s="3" customFormat="1" customHeight="1" spans="1:29">
      <c r="A23" s="14">
        <v>19</v>
      </c>
      <c r="B23" s="14" t="s">
        <v>38</v>
      </c>
      <c r="C23" s="14">
        <v>40</v>
      </c>
      <c r="D23" s="15">
        <v>5944000</v>
      </c>
      <c r="E23" s="16">
        <v>0</v>
      </c>
      <c r="F23" s="16">
        <v>0</v>
      </c>
      <c r="G23" s="16">
        <v>625000</v>
      </c>
      <c r="H23" s="16">
        <f>1200000+400000+500000+500000+500000</f>
        <v>3100000</v>
      </c>
      <c r="I23" s="21">
        <v>500000</v>
      </c>
      <c r="J23" s="21">
        <v>1500000</v>
      </c>
      <c r="K23" s="15">
        <v>0</v>
      </c>
      <c r="L23" s="15">
        <v>1386000</v>
      </c>
      <c r="M23" s="15">
        <v>693000</v>
      </c>
      <c r="N23" s="15"/>
      <c r="O23" s="15"/>
      <c r="P23" s="15"/>
      <c r="Q23" s="15">
        <v>1386000</v>
      </c>
      <c r="R23" s="15">
        <v>693000</v>
      </c>
      <c r="S23" s="15"/>
      <c r="T23" s="15">
        <f t="shared" ref="T23:X23" si="20">O23*18%</f>
        <v>0</v>
      </c>
      <c r="U23" s="15">
        <f t="shared" si="20"/>
        <v>0</v>
      </c>
      <c r="V23" s="15">
        <f t="shared" si="20"/>
        <v>249480</v>
      </c>
      <c r="W23" s="15">
        <f t="shared" si="20"/>
        <v>124740</v>
      </c>
      <c r="X23" s="15">
        <f t="shared" si="20"/>
        <v>0</v>
      </c>
      <c r="Y23" s="15">
        <v>0</v>
      </c>
      <c r="Z23" s="33">
        <f t="shared" si="1"/>
        <v>5725000</v>
      </c>
      <c r="AA23" s="15">
        <f t="shared" si="2"/>
        <v>1192780</v>
      </c>
      <c r="AB23" s="34">
        <f t="shared" si="3"/>
        <v>593220</v>
      </c>
      <c r="AC23" s="14"/>
    </row>
    <row r="24" s="3" customFormat="1" customHeight="1" spans="1:29">
      <c r="A24" s="14">
        <v>20</v>
      </c>
      <c r="B24" s="14" t="s">
        <v>39</v>
      </c>
      <c r="C24" s="14">
        <v>41</v>
      </c>
      <c r="D24" s="15">
        <v>3994000</v>
      </c>
      <c r="E24" s="16">
        <v>0</v>
      </c>
      <c r="F24" s="16">
        <f>25000+200000+200000</f>
        <v>425000</v>
      </c>
      <c r="G24" s="16">
        <f>100000+300000+890000+891040</f>
        <v>2181040</v>
      </c>
      <c r="H24" s="16">
        <f>593980+300000</f>
        <v>893980</v>
      </c>
      <c r="I24" s="21">
        <f>295000+542649+29980</f>
        <v>867629</v>
      </c>
      <c r="J24" s="21"/>
      <c r="K24" s="15">
        <v>225000</v>
      </c>
      <c r="L24" s="15">
        <v>1122750</v>
      </c>
      <c r="M24" s="15">
        <v>649250</v>
      </c>
      <c r="N24" s="15"/>
      <c r="O24" s="15"/>
      <c r="P24" s="15">
        <f>449250+449250+449250</f>
        <v>1347750</v>
      </c>
      <c r="Q24" s="15">
        <v>0</v>
      </c>
      <c r="R24" s="15">
        <v>649250</v>
      </c>
      <c r="S24" s="15"/>
      <c r="T24" s="15">
        <f t="shared" ref="T24:X24" si="21">O24*18%</f>
        <v>0</v>
      </c>
      <c r="U24" s="15">
        <f t="shared" si="21"/>
        <v>242595</v>
      </c>
      <c r="V24" s="15">
        <f t="shared" si="21"/>
        <v>0</v>
      </c>
      <c r="W24" s="15">
        <f t="shared" si="21"/>
        <v>116865</v>
      </c>
      <c r="X24" s="15">
        <f t="shared" si="21"/>
        <v>0</v>
      </c>
      <c r="Y24" s="15">
        <f>9204+390+30050-25455</f>
        <v>14189</v>
      </c>
      <c r="Z24" s="33">
        <f t="shared" si="1"/>
        <v>4367649</v>
      </c>
      <c r="AA24" s="15">
        <f t="shared" si="2"/>
        <v>0</v>
      </c>
      <c r="AB24" s="34">
        <f t="shared" si="3"/>
        <v>0</v>
      </c>
      <c r="AC24" s="14" t="s">
        <v>75</v>
      </c>
    </row>
    <row r="25" s="3" customFormat="1" customHeight="1" spans="1:29">
      <c r="A25" s="14">
        <v>21</v>
      </c>
      <c r="B25" s="14" t="s">
        <v>25</v>
      </c>
      <c r="C25" s="14">
        <v>42</v>
      </c>
      <c r="D25" s="15">
        <v>6000000</v>
      </c>
      <c r="E25" s="16"/>
      <c r="F25" s="16"/>
      <c r="G25" s="16"/>
      <c r="H25" s="16"/>
      <c r="I25" s="21">
        <f>1650000+600000+250000+600000+200000+300000+700000+500000+100000+700000+400000+45000</f>
        <v>6045000</v>
      </c>
      <c r="J25" s="21"/>
      <c r="K25" s="15"/>
      <c r="L25" s="15"/>
      <c r="M25" s="15">
        <v>1400000</v>
      </c>
      <c r="N25" s="15">
        <v>700000</v>
      </c>
      <c r="O25" s="15"/>
      <c r="P25" s="15"/>
      <c r="Q25" s="15"/>
      <c r="R25" s="15">
        <v>1400000</v>
      </c>
      <c r="S25" s="15">
        <v>700000</v>
      </c>
      <c r="T25" s="15"/>
      <c r="U25" s="15"/>
      <c r="V25" s="15"/>
      <c r="W25" s="15">
        <f>R25*18%</f>
        <v>252000</v>
      </c>
      <c r="X25" s="15">
        <f>S25*18%</f>
        <v>126000</v>
      </c>
      <c r="Y25" s="15">
        <v>0</v>
      </c>
      <c r="Z25" s="33">
        <f t="shared" si="1"/>
        <v>6045000</v>
      </c>
      <c r="AA25" s="15">
        <f t="shared" si="2"/>
        <v>1467000</v>
      </c>
      <c r="AB25" s="34">
        <f t="shared" si="3"/>
        <v>333000</v>
      </c>
      <c r="AC25" s="14"/>
    </row>
    <row r="26" s="3" customFormat="1" customHeight="1" spans="1:29">
      <c r="A26" s="14">
        <v>22</v>
      </c>
      <c r="B26" s="14" t="s">
        <v>25</v>
      </c>
      <c r="C26" s="14">
        <v>43</v>
      </c>
      <c r="D26" s="15">
        <v>4500000</v>
      </c>
      <c r="E26" s="16"/>
      <c r="F26" s="16"/>
      <c r="G26" s="16"/>
      <c r="H26" s="16"/>
      <c r="I26" s="16">
        <v>4500000</v>
      </c>
      <c r="J26" s="21"/>
      <c r="K26" s="15">
        <v>0</v>
      </c>
      <c r="L26" s="15">
        <v>1025000</v>
      </c>
      <c r="M26" s="15"/>
      <c r="N26" s="15">
        <v>512500</v>
      </c>
      <c r="O26" s="15"/>
      <c r="P26" s="15"/>
      <c r="Q26" s="15">
        <v>1025000</v>
      </c>
      <c r="R26" s="15"/>
      <c r="S26" s="15">
        <v>512500</v>
      </c>
      <c r="T26" s="15">
        <f t="shared" ref="T26:X26" si="22">O26*18%</f>
        <v>0</v>
      </c>
      <c r="U26" s="15">
        <f t="shared" si="22"/>
        <v>0</v>
      </c>
      <c r="V26" s="15">
        <f t="shared" si="22"/>
        <v>184500</v>
      </c>
      <c r="W26" s="15">
        <f t="shared" si="22"/>
        <v>0</v>
      </c>
      <c r="X26" s="15">
        <f t="shared" si="22"/>
        <v>92250</v>
      </c>
      <c r="Y26" s="15">
        <v>0</v>
      </c>
      <c r="Z26" s="33">
        <f t="shared" si="1"/>
        <v>4500000</v>
      </c>
      <c r="AA26" s="15">
        <f t="shared" si="2"/>
        <v>1148250</v>
      </c>
      <c r="AB26" s="34">
        <f t="shared" si="3"/>
        <v>276750</v>
      </c>
      <c r="AC26" s="14"/>
    </row>
    <row r="27" s="3" customFormat="1" customHeight="1" spans="1:29">
      <c r="A27" s="14">
        <v>23</v>
      </c>
      <c r="B27" s="14" t="s">
        <v>25</v>
      </c>
      <c r="C27" s="14">
        <v>45</v>
      </c>
      <c r="D27" s="15">
        <v>6000000</v>
      </c>
      <c r="E27" s="16"/>
      <c r="F27" s="16"/>
      <c r="G27" s="16"/>
      <c r="H27" s="16">
        <v>6000000</v>
      </c>
      <c r="I27" s="21">
        <v>0</v>
      </c>
      <c r="J27" s="21"/>
      <c r="K27" s="15">
        <v>0</v>
      </c>
      <c r="L27" s="15">
        <v>700000</v>
      </c>
      <c r="M27" s="15">
        <v>700000</v>
      </c>
      <c r="N27" s="15"/>
      <c r="O27" s="15"/>
      <c r="P27" s="15"/>
      <c r="Q27" s="15">
        <v>700000</v>
      </c>
      <c r="R27" s="15">
        <v>700000</v>
      </c>
      <c r="S27" s="15"/>
      <c r="T27" s="15">
        <f t="shared" ref="T27:X27" si="23">O27*18%</f>
        <v>0</v>
      </c>
      <c r="U27" s="15">
        <f t="shared" si="23"/>
        <v>0</v>
      </c>
      <c r="V27" s="15">
        <f t="shared" si="23"/>
        <v>126000</v>
      </c>
      <c r="W27" s="15">
        <f t="shared" si="23"/>
        <v>126000</v>
      </c>
      <c r="X27" s="15">
        <f t="shared" si="23"/>
        <v>0</v>
      </c>
      <c r="Y27" s="15">
        <v>0</v>
      </c>
      <c r="Z27" s="33">
        <f t="shared" si="1"/>
        <v>6000000</v>
      </c>
      <c r="AA27" s="15">
        <f t="shared" si="2"/>
        <v>2948000</v>
      </c>
      <c r="AB27" s="34">
        <f t="shared" si="3"/>
        <v>252000</v>
      </c>
      <c r="AC27" s="14"/>
    </row>
    <row r="28" s="3" customFormat="1" customHeight="1" spans="1:29">
      <c r="A28" s="14">
        <v>24</v>
      </c>
      <c r="B28" s="14" t="s">
        <v>82</v>
      </c>
      <c r="C28" s="14">
        <v>45</v>
      </c>
      <c r="D28" s="15">
        <v>8100000</v>
      </c>
      <c r="E28" s="16"/>
      <c r="F28" s="16"/>
      <c r="G28" s="16"/>
      <c r="H28" s="16"/>
      <c r="I28" s="16">
        <f>25000+1415000+500000</f>
        <v>1940000</v>
      </c>
      <c r="J28" s="21">
        <v>59300</v>
      </c>
      <c r="K28" s="15"/>
      <c r="L28" s="15"/>
      <c r="M28" s="15">
        <v>0</v>
      </c>
      <c r="N28" s="15"/>
      <c r="O28" s="15">
        <v>0</v>
      </c>
      <c r="P28" s="15"/>
      <c r="Q28" s="15">
        <v>0</v>
      </c>
      <c r="R28" s="15">
        <v>0</v>
      </c>
      <c r="S28" s="15"/>
      <c r="T28" s="15"/>
      <c r="U28" s="15"/>
      <c r="V28" s="15">
        <f t="shared" ref="V28:X28" si="24">Q28*18%</f>
        <v>0</v>
      </c>
      <c r="W28" s="15">
        <f t="shared" si="24"/>
        <v>0</v>
      </c>
      <c r="X28" s="15">
        <f t="shared" si="24"/>
        <v>0</v>
      </c>
      <c r="Y28" s="15">
        <f>59300+1940000</f>
        <v>1999300</v>
      </c>
      <c r="Z28" s="33">
        <f t="shared" si="1"/>
        <v>1999300</v>
      </c>
      <c r="AA28" s="15">
        <f t="shared" si="2"/>
        <v>0</v>
      </c>
      <c r="AB28" s="34">
        <f t="shared" si="3"/>
        <v>8100000</v>
      </c>
      <c r="AC28" s="14" t="s">
        <v>83</v>
      </c>
    </row>
    <row r="29" s="3" customFormat="1" customHeight="1" spans="1:29">
      <c r="A29" s="14">
        <v>25</v>
      </c>
      <c r="B29" s="14" t="s">
        <v>40</v>
      </c>
      <c r="C29" s="14">
        <v>46</v>
      </c>
      <c r="D29" s="15">
        <v>4800000</v>
      </c>
      <c r="E29" s="16"/>
      <c r="F29" s="16"/>
      <c r="G29" s="16"/>
      <c r="H29" s="16">
        <f>25000+200000+945000+500000+180000+200000</f>
        <v>2050000</v>
      </c>
      <c r="I29" s="21">
        <f>300000+600000</f>
        <v>900000</v>
      </c>
      <c r="J29" s="21">
        <v>1100000</v>
      </c>
      <c r="K29" s="15">
        <v>0</v>
      </c>
      <c r="L29" s="15">
        <v>1100000</v>
      </c>
      <c r="M29" s="15">
        <v>550000</v>
      </c>
      <c r="N29" s="15"/>
      <c r="O29" s="15">
        <v>0</v>
      </c>
      <c r="P29" s="15">
        <v>0</v>
      </c>
      <c r="Q29" s="15">
        <f>1475000-375000</f>
        <v>1100000</v>
      </c>
      <c r="R29" s="15">
        <v>550000</v>
      </c>
      <c r="S29" s="15"/>
      <c r="T29" s="15">
        <f t="shared" ref="T29:X29" si="25">O29*18%</f>
        <v>0</v>
      </c>
      <c r="U29" s="15">
        <f t="shared" si="25"/>
        <v>0</v>
      </c>
      <c r="V29" s="15">
        <f t="shared" si="25"/>
        <v>198000</v>
      </c>
      <c r="W29" s="15">
        <f t="shared" si="25"/>
        <v>99000</v>
      </c>
      <c r="X29" s="15">
        <f t="shared" si="25"/>
        <v>0</v>
      </c>
      <c r="Y29" s="15">
        <v>9204</v>
      </c>
      <c r="Z29" s="33">
        <f t="shared" si="1"/>
        <v>4050000</v>
      </c>
      <c r="AA29" s="15">
        <f t="shared" si="2"/>
        <v>443796</v>
      </c>
      <c r="AB29" s="34">
        <f t="shared" si="3"/>
        <v>1056204</v>
      </c>
      <c r="AC29" s="14"/>
    </row>
    <row r="30" s="3" customFormat="1" customHeight="1" spans="1:29">
      <c r="A30" s="14">
        <v>26</v>
      </c>
      <c r="B30" s="14" t="s">
        <v>41</v>
      </c>
      <c r="C30" s="14">
        <v>48</v>
      </c>
      <c r="D30" s="15">
        <v>3600000</v>
      </c>
      <c r="E30" s="16">
        <f>25000+200000+200000+175000</f>
        <v>600000</v>
      </c>
      <c r="F30" s="16">
        <v>1746000</v>
      </c>
      <c r="G30" s="16">
        <v>527000</v>
      </c>
      <c r="H30" s="16">
        <f>727000+200000</f>
        <v>927000</v>
      </c>
      <c r="I30" s="16">
        <v>200000</v>
      </c>
      <c r="J30" s="21"/>
      <c r="K30" s="15">
        <v>1555500</v>
      </c>
      <c r="L30" s="15">
        <v>-355500</v>
      </c>
      <c r="M30" s="15"/>
      <c r="N30" s="15"/>
      <c r="O30" s="15"/>
      <c r="P30" s="15">
        <f>1073000+127000</f>
        <v>1200000</v>
      </c>
      <c r="Q30" s="15">
        <v>0</v>
      </c>
      <c r="R30" s="15"/>
      <c r="S30" s="15"/>
      <c r="T30" s="15">
        <f t="shared" ref="T30:X30" si="26">O30*18%</f>
        <v>0</v>
      </c>
      <c r="U30" s="15">
        <f t="shared" si="26"/>
        <v>216000</v>
      </c>
      <c r="V30" s="15">
        <f t="shared" si="26"/>
        <v>0</v>
      </c>
      <c r="W30" s="15">
        <f t="shared" si="26"/>
        <v>0</v>
      </c>
      <c r="X30" s="15">
        <f t="shared" si="26"/>
        <v>0</v>
      </c>
      <c r="Y30" s="15">
        <v>135228</v>
      </c>
      <c r="Z30" s="33">
        <f t="shared" si="1"/>
        <v>4000000</v>
      </c>
      <c r="AA30" s="15">
        <f t="shared" si="2"/>
        <v>1248772</v>
      </c>
      <c r="AB30" s="34">
        <f t="shared" si="3"/>
        <v>-48772</v>
      </c>
      <c r="AC30" s="14"/>
    </row>
    <row r="31" s="3" customFormat="1" customHeight="1" spans="1:29">
      <c r="A31" s="14">
        <v>27</v>
      </c>
      <c r="B31" s="14" t="s">
        <v>25</v>
      </c>
      <c r="C31" s="14">
        <v>49</v>
      </c>
      <c r="D31" s="15">
        <v>4500000</v>
      </c>
      <c r="E31" s="16"/>
      <c r="F31" s="16"/>
      <c r="G31" s="16"/>
      <c r="H31" s="16"/>
      <c r="I31" s="21">
        <v>6000000</v>
      </c>
      <c r="J31" s="21"/>
      <c r="K31" s="15">
        <v>0</v>
      </c>
      <c r="L31" s="15">
        <v>1025000</v>
      </c>
      <c r="M31" s="15">
        <v>512500</v>
      </c>
      <c r="N31" s="15">
        <v>512500</v>
      </c>
      <c r="O31" s="15"/>
      <c r="P31" s="15"/>
      <c r="Q31" s="15">
        <v>1025000</v>
      </c>
      <c r="R31" s="15">
        <v>512500</v>
      </c>
      <c r="S31" s="15">
        <v>512500</v>
      </c>
      <c r="T31" s="15">
        <f t="shared" ref="T31:X31" si="27">O31*18%</f>
        <v>0</v>
      </c>
      <c r="U31" s="15">
        <f t="shared" si="27"/>
        <v>0</v>
      </c>
      <c r="V31" s="15">
        <f t="shared" si="27"/>
        <v>184500</v>
      </c>
      <c r="W31" s="15">
        <f t="shared" si="27"/>
        <v>92250</v>
      </c>
      <c r="X31" s="15">
        <f t="shared" si="27"/>
        <v>92250</v>
      </c>
      <c r="Y31" s="15">
        <v>0</v>
      </c>
      <c r="Z31" s="33">
        <f t="shared" si="1"/>
        <v>6000000</v>
      </c>
      <c r="AA31" s="15">
        <f t="shared" si="2"/>
        <v>1531000</v>
      </c>
      <c r="AB31" s="34">
        <f t="shared" si="3"/>
        <v>-1131000</v>
      </c>
      <c r="AC31" s="14"/>
    </row>
    <row r="32" s="3" customFormat="1" customHeight="1" spans="1:29">
      <c r="A32" s="14">
        <v>28</v>
      </c>
      <c r="B32" s="14" t="s">
        <v>25</v>
      </c>
      <c r="C32" s="14">
        <v>51</v>
      </c>
      <c r="D32" s="15">
        <v>6000000</v>
      </c>
      <c r="E32" s="16"/>
      <c r="F32" s="16"/>
      <c r="G32" s="16"/>
      <c r="H32" s="16"/>
      <c r="I32" s="16">
        <v>6045000</v>
      </c>
      <c r="J32" s="21"/>
      <c r="K32" s="15">
        <v>0</v>
      </c>
      <c r="L32" s="15">
        <v>700000</v>
      </c>
      <c r="M32" s="15">
        <v>700000</v>
      </c>
      <c r="N32" s="15">
        <v>1400000</v>
      </c>
      <c r="O32" s="15"/>
      <c r="P32" s="15"/>
      <c r="Q32" s="15">
        <v>700000</v>
      </c>
      <c r="R32" s="15">
        <v>700000</v>
      </c>
      <c r="S32" s="15">
        <v>1400000</v>
      </c>
      <c r="T32" s="15">
        <f t="shared" ref="T32:X32" si="28">O32*18%</f>
        <v>0</v>
      </c>
      <c r="U32" s="15">
        <f t="shared" si="28"/>
        <v>0</v>
      </c>
      <c r="V32" s="15">
        <f t="shared" si="28"/>
        <v>126000</v>
      </c>
      <c r="W32" s="15">
        <f t="shared" si="28"/>
        <v>126000</v>
      </c>
      <c r="X32" s="15">
        <f t="shared" si="28"/>
        <v>252000</v>
      </c>
      <c r="Y32" s="15">
        <v>0</v>
      </c>
      <c r="Z32" s="33">
        <f t="shared" si="1"/>
        <v>6045000</v>
      </c>
      <c r="AA32" s="15">
        <f t="shared" si="2"/>
        <v>-59000</v>
      </c>
      <c r="AB32" s="34">
        <f t="shared" si="3"/>
        <v>459000</v>
      </c>
      <c r="AC32" s="14"/>
    </row>
    <row r="33" s="3" customFormat="1" customHeight="1" spans="1:29">
      <c r="A33" s="14">
        <v>29</v>
      </c>
      <c r="B33" s="14" t="s">
        <v>25</v>
      </c>
      <c r="C33" s="14">
        <v>52</v>
      </c>
      <c r="D33" s="15">
        <v>6000000</v>
      </c>
      <c r="E33" s="16"/>
      <c r="F33" s="16"/>
      <c r="G33" s="16"/>
      <c r="H33" s="16"/>
      <c r="I33" s="21">
        <v>4545000</v>
      </c>
      <c r="J33" s="21"/>
      <c r="K33" s="15">
        <v>0</v>
      </c>
      <c r="L33" s="15">
        <v>700000</v>
      </c>
      <c r="M33" s="15">
        <v>700000</v>
      </c>
      <c r="N33" s="15">
        <v>1400000</v>
      </c>
      <c r="O33" s="15"/>
      <c r="P33" s="15"/>
      <c r="Q33" s="15">
        <v>700000</v>
      </c>
      <c r="R33" s="15">
        <v>700000</v>
      </c>
      <c r="S33" s="15">
        <v>1400000</v>
      </c>
      <c r="T33" s="15">
        <f t="shared" ref="T33:X33" si="29">O33*18%</f>
        <v>0</v>
      </c>
      <c r="U33" s="15">
        <f t="shared" si="29"/>
        <v>0</v>
      </c>
      <c r="V33" s="15">
        <f t="shared" si="29"/>
        <v>126000</v>
      </c>
      <c r="W33" s="15">
        <f t="shared" si="29"/>
        <v>126000</v>
      </c>
      <c r="X33" s="15">
        <f t="shared" si="29"/>
        <v>252000</v>
      </c>
      <c r="Y33" s="15">
        <v>0</v>
      </c>
      <c r="Z33" s="33">
        <f t="shared" si="1"/>
        <v>4545000</v>
      </c>
      <c r="AA33" s="15">
        <f t="shared" si="2"/>
        <v>-1559000</v>
      </c>
      <c r="AB33" s="34">
        <f t="shared" si="3"/>
        <v>1959000</v>
      </c>
      <c r="AC33" s="14"/>
    </row>
    <row r="34" s="3" customFormat="1" customHeight="1" spans="1:29">
      <c r="A34" s="14">
        <v>30</v>
      </c>
      <c r="B34" s="14" t="s">
        <v>43</v>
      </c>
      <c r="C34" s="14">
        <v>54</v>
      </c>
      <c r="D34" s="15">
        <v>4500000</v>
      </c>
      <c r="E34" s="16"/>
      <c r="F34" s="16"/>
      <c r="G34" s="16"/>
      <c r="H34" s="16"/>
      <c r="I34" s="16">
        <v>4700000</v>
      </c>
      <c r="J34" s="21"/>
      <c r="K34" s="15">
        <v>0</v>
      </c>
      <c r="L34" s="15">
        <v>1025000</v>
      </c>
      <c r="M34" s="15">
        <v>1025000</v>
      </c>
      <c r="N34" s="15"/>
      <c r="O34" s="15"/>
      <c r="P34" s="15"/>
      <c r="Q34" s="15">
        <v>1025000</v>
      </c>
      <c r="R34" s="15">
        <v>1025000</v>
      </c>
      <c r="S34" s="15"/>
      <c r="T34" s="15">
        <f t="shared" ref="T34:X34" si="30">O34*18%</f>
        <v>0</v>
      </c>
      <c r="U34" s="15">
        <f t="shared" si="30"/>
        <v>0</v>
      </c>
      <c r="V34" s="15">
        <f t="shared" si="30"/>
        <v>184500</v>
      </c>
      <c r="W34" s="15">
        <f t="shared" si="30"/>
        <v>184500</v>
      </c>
      <c r="X34" s="15">
        <f t="shared" si="30"/>
        <v>0</v>
      </c>
      <c r="Y34" s="15">
        <v>0</v>
      </c>
      <c r="Z34" s="33">
        <f t="shared" si="1"/>
        <v>4700000</v>
      </c>
      <c r="AA34" s="15">
        <f t="shared" si="2"/>
        <v>231000</v>
      </c>
      <c r="AB34" s="34">
        <f t="shared" si="3"/>
        <v>169000</v>
      </c>
      <c r="AC34" s="14"/>
    </row>
    <row r="35" s="3" customFormat="1" customHeight="1" spans="1:29">
      <c r="A35" s="14">
        <v>31</v>
      </c>
      <c r="B35" s="14" t="s">
        <v>44</v>
      </c>
      <c r="C35" s="14">
        <v>55</v>
      </c>
      <c r="D35" s="15">
        <v>5800000</v>
      </c>
      <c r="E35" s="16">
        <v>0</v>
      </c>
      <c r="F35" s="16">
        <v>0</v>
      </c>
      <c r="G35" s="16">
        <f>225000+870000</f>
        <v>1095000</v>
      </c>
      <c r="H35" s="16">
        <f>1351000+1351000</f>
        <v>2702000</v>
      </c>
      <c r="I35" s="21">
        <v>0</v>
      </c>
      <c r="J35" s="21">
        <v>1000000</v>
      </c>
      <c r="K35" s="15"/>
      <c r="L35" s="15">
        <v>1350000</v>
      </c>
      <c r="M35" s="15">
        <v>675000</v>
      </c>
      <c r="N35" s="15"/>
      <c r="O35" s="15"/>
      <c r="P35" s="15"/>
      <c r="Q35" s="15">
        <f>675000+675000</f>
        <v>1350000</v>
      </c>
      <c r="R35" s="15">
        <v>675000</v>
      </c>
      <c r="S35" s="15"/>
      <c r="T35" s="15">
        <f t="shared" ref="T35:X35" si="31">O35*18%</f>
        <v>0</v>
      </c>
      <c r="U35" s="15">
        <f t="shared" si="31"/>
        <v>0</v>
      </c>
      <c r="V35" s="15">
        <f t="shared" si="31"/>
        <v>243000</v>
      </c>
      <c r="W35" s="15">
        <f t="shared" si="31"/>
        <v>121500</v>
      </c>
      <c r="X35" s="15">
        <f t="shared" si="31"/>
        <v>0</v>
      </c>
      <c r="Y35" s="15">
        <v>0</v>
      </c>
      <c r="Z35" s="33">
        <f t="shared" si="1"/>
        <v>4797000</v>
      </c>
      <c r="AA35" s="15">
        <f t="shared" si="2"/>
        <v>382500</v>
      </c>
      <c r="AB35" s="34">
        <f t="shared" si="3"/>
        <v>1367500</v>
      </c>
      <c r="AC35" s="14"/>
    </row>
    <row r="36" s="3" customFormat="1" customHeight="1" spans="1:29">
      <c r="A36" s="14">
        <v>32</v>
      </c>
      <c r="B36" s="14" t="s">
        <v>45</v>
      </c>
      <c r="C36" s="14">
        <v>56</v>
      </c>
      <c r="D36" s="15">
        <v>4200000</v>
      </c>
      <c r="E36" s="16"/>
      <c r="F36" s="16">
        <v>0</v>
      </c>
      <c r="G36" s="16">
        <v>225000</v>
      </c>
      <c r="H36" s="16">
        <f>600000+75000+1980000+156228</f>
        <v>2811228</v>
      </c>
      <c r="I36" s="16">
        <v>600000</v>
      </c>
      <c r="J36" s="21"/>
      <c r="K36" s="15"/>
      <c r="L36" s="15">
        <v>950000</v>
      </c>
      <c r="M36" s="15">
        <v>475000</v>
      </c>
      <c r="N36" s="15"/>
      <c r="O36" s="15"/>
      <c r="P36" s="15"/>
      <c r="Q36" s="15">
        <v>950000</v>
      </c>
      <c r="R36" s="15">
        <v>475000</v>
      </c>
      <c r="S36" s="15"/>
      <c r="T36" s="15">
        <f t="shared" ref="T36:X36" si="32">O36*18%</f>
        <v>0</v>
      </c>
      <c r="U36" s="15">
        <f t="shared" si="32"/>
        <v>0</v>
      </c>
      <c r="V36" s="15">
        <f t="shared" si="32"/>
        <v>171000</v>
      </c>
      <c r="W36" s="15">
        <f t="shared" si="32"/>
        <v>85500</v>
      </c>
      <c r="X36" s="15">
        <f t="shared" si="32"/>
        <v>0</v>
      </c>
      <c r="Y36" s="15">
        <f>147024+9204</f>
        <v>156228</v>
      </c>
      <c r="Z36" s="33">
        <f t="shared" si="1"/>
        <v>3636228</v>
      </c>
      <c r="AA36" s="15">
        <f t="shared" si="2"/>
        <v>373500</v>
      </c>
      <c r="AB36" s="34">
        <f t="shared" si="3"/>
        <v>976500</v>
      </c>
      <c r="AC36" s="14"/>
    </row>
    <row r="37" s="3" customFormat="1" customHeight="1" spans="1:29">
      <c r="A37" s="14">
        <v>33</v>
      </c>
      <c r="B37" s="14" t="s">
        <v>46</v>
      </c>
      <c r="C37" s="14">
        <v>57</v>
      </c>
      <c r="D37" s="15">
        <v>3700000</v>
      </c>
      <c r="E37" s="16">
        <v>525000</v>
      </c>
      <c r="F37" s="16">
        <v>1887000</v>
      </c>
      <c r="G37" s="16"/>
      <c r="H37" s="16">
        <v>1172500</v>
      </c>
      <c r="I37" s="21">
        <v>802000</v>
      </c>
      <c r="J37" s="21">
        <v>138723.8</v>
      </c>
      <c r="K37" s="15">
        <v>1596000</v>
      </c>
      <c r="L37" s="15"/>
      <c r="M37" s="15"/>
      <c r="N37" s="15">
        <v>612500</v>
      </c>
      <c r="O37" s="15"/>
      <c r="P37" s="15">
        <v>1262500</v>
      </c>
      <c r="Q37" s="15">
        <v>0</v>
      </c>
      <c r="R37" s="15"/>
      <c r="S37" s="15">
        <v>624740</v>
      </c>
      <c r="T37" s="15">
        <f t="shared" ref="T37:X37" si="33">O37*18%</f>
        <v>0</v>
      </c>
      <c r="U37" s="15">
        <f t="shared" si="33"/>
        <v>227250</v>
      </c>
      <c r="V37" s="15">
        <f t="shared" si="33"/>
        <v>0</v>
      </c>
      <c r="W37" s="15">
        <f t="shared" si="33"/>
        <v>0</v>
      </c>
      <c r="X37" s="15">
        <f t="shared" si="33"/>
        <v>112453.2</v>
      </c>
      <c r="Y37" s="15">
        <f>27715.8+65605</f>
        <v>93320.8</v>
      </c>
      <c r="Z37" s="33">
        <f t="shared" si="1"/>
        <v>4525223.8</v>
      </c>
      <c r="AA37" s="15">
        <f t="shared" si="2"/>
        <v>-3540.20000000023</v>
      </c>
      <c r="AB37" s="34">
        <f t="shared" si="3"/>
        <v>-392199.8</v>
      </c>
      <c r="AC37" s="14"/>
    </row>
    <row r="38" s="3" customFormat="1" customHeight="1" spans="1:29">
      <c r="A38" s="14">
        <v>34</v>
      </c>
      <c r="B38" s="14" t="s">
        <v>47</v>
      </c>
      <c r="C38" s="14">
        <v>59</v>
      </c>
      <c r="D38" s="15">
        <v>5500000</v>
      </c>
      <c r="E38" s="16">
        <v>0</v>
      </c>
      <c r="F38" s="16">
        <v>0</v>
      </c>
      <c r="G38" s="16">
        <f>25000+500000+250000+230000+45000</f>
        <v>1050000</v>
      </c>
      <c r="H38" s="16">
        <v>2990000</v>
      </c>
      <c r="I38" s="16">
        <v>1460875</v>
      </c>
      <c r="J38" s="21">
        <v>542631</v>
      </c>
      <c r="K38" s="15">
        <v>0</v>
      </c>
      <c r="L38" s="15">
        <v>1275000</v>
      </c>
      <c r="M38" s="15">
        <v>637500</v>
      </c>
      <c r="N38" s="15">
        <v>837500</v>
      </c>
      <c r="O38" s="15"/>
      <c r="P38" s="15">
        <v>0</v>
      </c>
      <c r="Q38" s="15">
        <v>1275000</v>
      </c>
      <c r="R38" s="15">
        <v>637500</v>
      </c>
      <c r="S38" s="15">
        <v>861260</v>
      </c>
      <c r="T38" s="15">
        <f t="shared" ref="T38:X38" si="34">O38*18%</f>
        <v>0</v>
      </c>
      <c r="U38" s="15">
        <f t="shared" si="34"/>
        <v>0</v>
      </c>
      <c r="V38" s="15">
        <f t="shared" si="34"/>
        <v>229500</v>
      </c>
      <c r="W38" s="15">
        <f t="shared" si="34"/>
        <v>114750</v>
      </c>
      <c r="X38" s="15">
        <f t="shared" si="34"/>
        <v>155026.8</v>
      </c>
      <c r="Y38" s="15">
        <f>9204+390</f>
        <v>9594</v>
      </c>
      <c r="Z38" s="33">
        <f t="shared" si="1"/>
        <v>6043506</v>
      </c>
      <c r="AA38" s="15">
        <f t="shared" si="2"/>
        <v>10875.2</v>
      </c>
      <c r="AB38" s="34">
        <f t="shared" si="3"/>
        <v>-34635.2</v>
      </c>
      <c r="AC38" s="14"/>
    </row>
    <row r="39" s="3" customFormat="1" customHeight="1" spans="1:29">
      <c r="A39" s="14">
        <v>35</v>
      </c>
      <c r="B39" s="14" t="s">
        <v>48</v>
      </c>
      <c r="C39" s="14">
        <v>60</v>
      </c>
      <c r="D39" s="15">
        <v>3300000</v>
      </c>
      <c r="E39" s="16">
        <v>0</v>
      </c>
      <c r="F39" s="16">
        <v>0</v>
      </c>
      <c r="G39" s="16">
        <f>225000</f>
        <v>225000</v>
      </c>
      <c r="H39" s="16">
        <f>645000+938000</f>
        <v>1583000</v>
      </c>
      <c r="I39" s="21">
        <f>800000+640000+51995</f>
        <v>1491995</v>
      </c>
      <c r="J39" s="21"/>
      <c r="K39" s="15"/>
      <c r="L39" s="15">
        <v>725000</v>
      </c>
      <c r="M39" s="15">
        <v>362500</v>
      </c>
      <c r="N39" s="15">
        <v>562500</v>
      </c>
      <c r="O39" s="15"/>
      <c r="P39" s="15"/>
      <c r="Q39" s="15">
        <f>975000-250000</f>
        <v>725000</v>
      </c>
      <c r="R39" s="15">
        <v>362500</v>
      </c>
      <c r="S39" s="15">
        <v>562500</v>
      </c>
      <c r="T39" s="15">
        <f t="shared" ref="T39:X39" si="35">O39*18%</f>
        <v>0</v>
      </c>
      <c r="U39" s="15">
        <f t="shared" si="35"/>
        <v>0</v>
      </c>
      <c r="V39" s="15">
        <f t="shared" si="35"/>
        <v>130500</v>
      </c>
      <c r="W39" s="15">
        <f t="shared" si="35"/>
        <v>65250</v>
      </c>
      <c r="X39" s="15">
        <f t="shared" si="35"/>
        <v>101250</v>
      </c>
      <c r="Y39" s="15">
        <v>9204</v>
      </c>
      <c r="Z39" s="33">
        <f t="shared" si="1"/>
        <v>3299995</v>
      </c>
      <c r="AA39" s="15">
        <f t="shared" si="2"/>
        <v>-306209</v>
      </c>
      <c r="AB39" s="34">
        <f t="shared" si="3"/>
        <v>306209</v>
      </c>
      <c r="AC39" s="14"/>
    </row>
    <row r="40" s="3" customFormat="1" customHeight="1" spans="1:29">
      <c r="A40" s="14">
        <v>36</v>
      </c>
      <c r="B40" s="14" t="s">
        <v>49</v>
      </c>
      <c r="C40" s="14">
        <v>61</v>
      </c>
      <c r="D40" s="15">
        <v>3700000</v>
      </c>
      <c r="E40" s="16">
        <v>0</v>
      </c>
      <c r="F40" s="16">
        <f>1730000-555000</f>
        <v>1175000</v>
      </c>
      <c r="G40" s="16">
        <v>2444750</v>
      </c>
      <c r="H40" s="16">
        <v>1509500</v>
      </c>
      <c r="I40" s="16">
        <v>253494</v>
      </c>
      <c r="J40" s="21">
        <v>606350</v>
      </c>
      <c r="K40" s="15">
        <v>2203000</v>
      </c>
      <c r="L40" s="15"/>
      <c r="M40" s="15"/>
      <c r="N40" s="15">
        <v>612500</v>
      </c>
      <c r="O40" s="15"/>
      <c r="P40" s="15">
        <v>1802600</v>
      </c>
      <c r="Q40" s="15">
        <v>0</v>
      </c>
      <c r="R40" s="15"/>
      <c r="S40" s="15">
        <v>624740</v>
      </c>
      <c r="T40" s="15">
        <f t="shared" ref="T40:X40" si="36">O40*18%</f>
        <v>0</v>
      </c>
      <c r="U40" s="15">
        <f t="shared" si="36"/>
        <v>324468</v>
      </c>
      <c r="V40" s="15">
        <f t="shared" si="36"/>
        <v>0</v>
      </c>
      <c r="W40" s="15">
        <f t="shared" si="36"/>
        <v>0</v>
      </c>
      <c r="X40" s="15">
        <f t="shared" si="36"/>
        <v>112453.2</v>
      </c>
      <c r="Y40" s="15">
        <v>212292.6</v>
      </c>
      <c r="Z40" s="33">
        <f t="shared" si="1"/>
        <v>5989094</v>
      </c>
      <c r="AA40" s="15">
        <f t="shared" si="2"/>
        <v>97040.1999999999</v>
      </c>
      <c r="AB40" s="34">
        <f t="shared" si="3"/>
        <v>-1639880.2</v>
      </c>
      <c r="AC40" s="14"/>
    </row>
    <row r="41" s="3" customFormat="1" customHeight="1" spans="1:29">
      <c r="A41" s="14">
        <v>37</v>
      </c>
      <c r="B41" s="14" t="s">
        <v>50</v>
      </c>
      <c r="C41" s="14">
        <v>63</v>
      </c>
      <c r="D41" s="15">
        <v>3916000</v>
      </c>
      <c r="E41" s="16">
        <v>225000</v>
      </c>
      <c r="F41" s="16">
        <v>2329560</v>
      </c>
      <c r="G41" s="16">
        <v>0</v>
      </c>
      <c r="H41" s="16">
        <v>1414260</v>
      </c>
      <c r="I41" s="21">
        <v>965191</v>
      </c>
      <c r="J41" s="21"/>
      <c r="K41" s="15">
        <v>1683480</v>
      </c>
      <c r="L41" s="15"/>
      <c r="M41" s="15">
        <v>639500</v>
      </c>
      <c r="N41" s="15"/>
      <c r="O41" s="15"/>
      <c r="P41" s="15">
        <v>1318500</v>
      </c>
      <c r="Q41" s="15">
        <v>0</v>
      </c>
      <c r="R41" s="15">
        <v>655582</v>
      </c>
      <c r="S41" s="15"/>
      <c r="T41" s="15">
        <f t="shared" ref="T41:X41" si="37">O41*18%</f>
        <v>0</v>
      </c>
      <c r="U41" s="15">
        <f t="shared" si="37"/>
        <v>237330</v>
      </c>
      <c r="V41" s="15">
        <f t="shared" si="37"/>
        <v>0</v>
      </c>
      <c r="W41" s="15">
        <f t="shared" si="37"/>
        <v>118004.76</v>
      </c>
      <c r="X41" s="15">
        <f t="shared" si="37"/>
        <v>0</v>
      </c>
      <c r="Y41" s="15">
        <f>230720+9204+7890+33800</f>
        <v>281614</v>
      </c>
      <c r="Z41" s="33">
        <f t="shared" si="1"/>
        <v>4934011</v>
      </c>
      <c r="AA41" s="15">
        <f t="shared" si="2"/>
        <v>0.239999999990687</v>
      </c>
      <c r="AB41" s="34">
        <f t="shared" si="3"/>
        <v>-381062.24</v>
      </c>
      <c r="AC41" s="14" t="s">
        <v>75</v>
      </c>
    </row>
    <row r="42" s="3" customFormat="1" customHeight="1" spans="1:29">
      <c r="A42" s="14">
        <v>38</v>
      </c>
      <c r="B42" s="14" t="s">
        <v>51</v>
      </c>
      <c r="C42" s="14">
        <v>64</v>
      </c>
      <c r="D42" s="15">
        <v>3916000</v>
      </c>
      <c r="E42" s="16">
        <f>25000+200000</f>
        <v>225000</v>
      </c>
      <c r="F42" s="16">
        <f>87400+500000+480000+391080+871080</f>
        <v>2329560</v>
      </c>
      <c r="G42" s="16">
        <v>580720</v>
      </c>
      <c r="H42" s="16">
        <v>726984</v>
      </c>
      <c r="I42" s="16">
        <f>467480+145650+1865+10</f>
        <v>615005</v>
      </c>
      <c r="J42" s="21"/>
      <c r="K42" s="15">
        <v>1958000</v>
      </c>
      <c r="L42" s="15">
        <v>-639500</v>
      </c>
      <c r="M42" s="15">
        <v>639500</v>
      </c>
      <c r="N42" s="15"/>
      <c r="O42" s="15">
        <f>1177280-298280</f>
        <v>879000</v>
      </c>
      <c r="P42" s="15">
        <v>439500</v>
      </c>
      <c r="Q42" s="15">
        <v>0</v>
      </c>
      <c r="R42" s="15">
        <v>639500</v>
      </c>
      <c r="S42" s="15"/>
      <c r="T42" s="15">
        <f t="shared" ref="T42:X42" si="38">O42*18%</f>
        <v>158220</v>
      </c>
      <c r="U42" s="15">
        <f t="shared" si="38"/>
        <v>79110</v>
      </c>
      <c r="V42" s="15">
        <f t="shared" si="38"/>
        <v>0</v>
      </c>
      <c r="W42" s="15">
        <f t="shared" si="38"/>
        <v>115110</v>
      </c>
      <c r="X42" s="15">
        <f t="shared" si="38"/>
        <v>0</v>
      </c>
      <c r="Y42" s="15">
        <f>137084+9204+390+41300+18977+1875</f>
        <v>208830</v>
      </c>
      <c r="Z42" s="33">
        <f t="shared" si="1"/>
        <v>4477269</v>
      </c>
      <c r="AA42" s="15">
        <f t="shared" si="2"/>
        <v>-1</v>
      </c>
      <c r="AB42" s="34">
        <f t="shared" si="3"/>
        <v>1</v>
      </c>
      <c r="AC42" s="14" t="s">
        <v>75</v>
      </c>
    </row>
    <row r="43" s="3" customFormat="1" customHeight="1" spans="1:29">
      <c r="A43" s="14">
        <v>39</v>
      </c>
      <c r="B43" s="14" t="s">
        <v>52</v>
      </c>
      <c r="C43" s="14">
        <v>65</v>
      </c>
      <c r="D43" s="15">
        <v>5416000</v>
      </c>
      <c r="E43" s="16">
        <v>0</v>
      </c>
      <c r="F43" s="16">
        <v>0</v>
      </c>
      <c r="G43" s="16">
        <f>225000+2066000+1253580</f>
        <v>3544580</v>
      </c>
      <c r="H43" s="16">
        <v>835720</v>
      </c>
      <c r="I43" s="21">
        <v>0</v>
      </c>
      <c r="J43" s="21">
        <v>1052268</v>
      </c>
      <c r="K43" s="15">
        <v>0</v>
      </c>
      <c r="L43" s="15">
        <v>1881000</v>
      </c>
      <c r="M43" s="15"/>
      <c r="N43" s="15"/>
      <c r="O43" s="15"/>
      <c r="P43" s="15">
        <v>1254000</v>
      </c>
      <c r="Q43" s="15">
        <v>627000</v>
      </c>
      <c r="R43" s="15"/>
      <c r="S43" s="15"/>
      <c r="T43" s="15">
        <f t="shared" ref="T43:X43" si="39">O43*18%</f>
        <v>0</v>
      </c>
      <c r="U43" s="15">
        <f t="shared" si="39"/>
        <v>225720</v>
      </c>
      <c r="V43" s="15">
        <f t="shared" si="39"/>
        <v>112860</v>
      </c>
      <c r="W43" s="15">
        <f t="shared" si="39"/>
        <v>0</v>
      </c>
      <c r="X43" s="15">
        <f t="shared" si="39"/>
        <v>0</v>
      </c>
      <c r="Y43" s="15">
        <v>9204</v>
      </c>
      <c r="Z43" s="33">
        <f t="shared" si="1"/>
        <v>5432568</v>
      </c>
      <c r="AA43" s="15">
        <f t="shared" si="2"/>
        <v>1322784</v>
      </c>
      <c r="AB43" s="34">
        <f t="shared" si="3"/>
        <v>331216</v>
      </c>
      <c r="AC43" s="14"/>
    </row>
    <row r="44" s="3" customFormat="1" customHeight="1" spans="1:29">
      <c r="A44" s="14">
        <v>40</v>
      </c>
      <c r="B44" s="14" t="s">
        <v>53</v>
      </c>
      <c r="C44" s="14">
        <v>66</v>
      </c>
      <c r="D44" s="15">
        <v>5560000</v>
      </c>
      <c r="E44" s="16">
        <v>0</v>
      </c>
      <c r="F44" s="16">
        <f>25000+200000+610500+800000</f>
        <v>1635500</v>
      </c>
      <c r="G44" s="16">
        <v>0</v>
      </c>
      <c r="H44" s="16">
        <f>2000000+700000</f>
        <v>2700000</v>
      </c>
      <c r="I44" s="16">
        <f>500000+1000000+154500</f>
        <v>1654500</v>
      </c>
      <c r="J44" s="21"/>
      <c r="K44" s="15">
        <v>835500</v>
      </c>
      <c r="L44" s="15">
        <v>1099500</v>
      </c>
      <c r="M44" s="15">
        <v>845000</v>
      </c>
      <c r="N44" s="15"/>
      <c r="O44" s="15"/>
      <c r="P44" s="15">
        <f>458750+458750</f>
        <v>917500</v>
      </c>
      <c r="Q44" s="15">
        <f>458750+558750</f>
        <v>1017500</v>
      </c>
      <c r="R44" s="15">
        <v>845000</v>
      </c>
      <c r="S44" s="15"/>
      <c r="T44" s="15">
        <f t="shared" ref="T44:X44" si="40">O44*18%</f>
        <v>0</v>
      </c>
      <c r="U44" s="15">
        <f t="shared" si="40"/>
        <v>165150</v>
      </c>
      <c r="V44" s="15">
        <f t="shared" si="40"/>
        <v>183150</v>
      </c>
      <c r="W44" s="15">
        <f t="shared" si="40"/>
        <v>152100</v>
      </c>
      <c r="X44" s="15">
        <f t="shared" si="40"/>
        <v>0</v>
      </c>
      <c r="Y44" s="15">
        <f>9204+390+51110-131166</f>
        <v>-70462</v>
      </c>
      <c r="Z44" s="33">
        <f t="shared" si="1"/>
        <v>5990000</v>
      </c>
      <c r="AA44" s="15">
        <f t="shared" si="2"/>
        <v>62</v>
      </c>
      <c r="AB44" s="34">
        <f t="shared" si="3"/>
        <v>-62</v>
      </c>
      <c r="AC44" s="14" t="s">
        <v>75</v>
      </c>
    </row>
    <row r="45" s="3" customFormat="1" customHeight="1" spans="1:29">
      <c r="A45" s="14">
        <v>41</v>
      </c>
      <c r="B45" s="14" t="s">
        <v>54</v>
      </c>
      <c r="C45" s="14">
        <v>69</v>
      </c>
      <c r="D45" s="15">
        <v>4000000</v>
      </c>
      <c r="E45" s="16">
        <v>0</v>
      </c>
      <c r="F45" s="16">
        <v>0</v>
      </c>
      <c r="G45" s="16">
        <v>0</v>
      </c>
      <c r="H45" s="16">
        <v>2014000</v>
      </c>
      <c r="I45" s="21">
        <v>1100000</v>
      </c>
      <c r="J45" s="21"/>
      <c r="K45" s="15"/>
      <c r="L45" s="15">
        <v>900000</v>
      </c>
      <c r="M45" s="15">
        <v>450000</v>
      </c>
      <c r="N45" s="15"/>
      <c r="O45" s="15"/>
      <c r="P45" s="15"/>
      <c r="Q45" s="15">
        <v>900000</v>
      </c>
      <c r="R45" s="15">
        <v>450000</v>
      </c>
      <c r="S45" s="15"/>
      <c r="T45" s="15">
        <f t="shared" ref="T45:X45" si="41">O45*18%</f>
        <v>0</v>
      </c>
      <c r="U45" s="15">
        <f t="shared" si="41"/>
        <v>0</v>
      </c>
      <c r="V45" s="15">
        <f t="shared" si="41"/>
        <v>162000</v>
      </c>
      <c r="W45" s="15">
        <f t="shared" si="41"/>
        <v>81000</v>
      </c>
      <c r="X45" s="15">
        <f t="shared" si="41"/>
        <v>0</v>
      </c>
      <c r="Y45" s="15">
        <v>0</v>
      </c>
      <c r="Z45" s="33">
        <f t="shared" si="1"/>
        <v>3114000</v>
      </c>
      <c r="AA45" s="15">
        <f t="shared" si="2"/>
        <v>171000</v>
      </c>
      <c r="AB45" s="34">
        <f t="shared" si="3"/>
        <v>1129000</v>
      </c>
      <c r="AC45" s="14"/>
    </row>
    <row r="46" s="3" customFormat="1" customHeight="1" spans="1:29">
      <c r="A46" s="14">
        <v>42</v>
      </c>
      <c r="B46" s="14" t="s">
        <v>55</v>
      </c>
      <c r="C46" s="14">
        <v>70</v>
      </c>
      <c r="D46" s="15">
        <v>3600000</v>
      </c>
      <c r="E46" s="16"/>
      <c r="F46" s="16">
        <v>0</v>
      </c>
      <c r="G46" s="16">
        <f>225000+21500</f>
        <v>246500</v>
      </c>
      <c r="H46" s="16">
        <v>500000</v>
      </c>
      <c r="I46" s="16">
        <v>2000000</v>
      </c>
      <c r="J46" s="21"/>
      <c r="K46" s="15"/>
      <c r="L46" s="15">
        <v>800000</v>
      </c>
      <c r="M46" s="15">
        <v>400000</v>
      </c>
      <c r="N46" s="15"/>
      <c r="O46" s="15"/>
      <c r="P46" s="15"/>
      <c r="Q46" s="15">
        <f>1350000-550000</f>
        <v>800000</v>
      </c>
      <c r="R46" s="15">
        <v>400000</v>
      </c>
      <c r="S46" s="15"/>
      <c r="T46" s="15">
        <f t="shared" ref="T46:X46" si="42">O46*18%</f>
        <v>0</v>
      </c>
      <c r="U46" s="15">
        <f t="shared" si="42"/>
        <v>0</v>
      </c>
      <c r="V46" s="15">
        <f t="shared" si="42"/>
        <v>144000</v>
      </c>
      <c r="W46" s="15">
        <f t="shared" si="42"/>
        <v>72000</v>
      </c>
      <c r="X46" s="15">
        <f t="shared" si="42"/>
        <v>0</v>
      </c>
      <c r="Y46" s="15">
        <v>9204</v>
      </c>
      <c r="Z46" s="33">
        <f t="shared" si="1"/>
        <v>2746500</v>
      </c>
      <c r="AA46" s="15">
        <f t="shared" si="2"/>
        <v>121296</v>
      </c>
      <c r="AB46" s="34">
        <f t="shared" si="3"/>
        <v>1078704</v>
      </c>
      <c r="AC46" s="14"/>
    </row>
    <row r="47" s="3" customFormat="1" customHeight="1" spans="1:29">
      <c r="A47" s="14">
        <v>43</v>
      </c>
      <c r="B47" s="14" t="s">
        <v>43</v>
      </c>
      <c r="C47" s="14">
        <v>72</v>
      </c>
      <c r="D47" s="15">
        <v>6000000</v>
      </c>
      <c r="E47" s="16"/>
      <c r="F47" s="16"/>
      <c r="G47" s="16"/>
      <c r="H47" s="16">
        <v>0</v>
      </c>
      <c r="I47" s="21">
        <v>6245000</v>
      </c>
      <c r="J47" s="21"/>
      <c r="K47" s="15">
        <v>0</v>
      </c>
      <c r="L47" s="15">
        <v>0</v>
      </c>
      <c r="M47" s="15">
        <v>1400000</v>
      </c>
      <c r="N47" s="15">
        <v>700000</v>
      </c>
      <c r="O47" s="15"/>
      <c r="P47" s="15"/>
      <c r="Q47" s="15">
        <v>0</v>
      </c>
      <c r="R47" s="15">
        <v>1400000</v>
      </c>
      <c r="S47" s="15">
        <v>700000</v>
      </c>
      <c r="T47" s="15">
        <f t="shared" ref="T47:X47" si="43">O47*18%</f>
        <v>0</v>
      </c>
      <c r="U47" s="15">
        <f t="shared" si="43"/>
        <v>0</v>
      </c>
      <c r="V47" s="15">
        <f t="shared" si="43"/>
        <v>0</v>
      </c>
      <c r="W47" s="15">
        <f t="shared" si="43"/>
        <v>252000</v>
      </c>
      <c r="X47" s="15">
        <f t="shared" si="43"/>
        <v>126000</v>
      </c>
      <c r="Y47" s="15">
        <v>0</v>
      </c>
      <c r="Z47" s="33">
        <f t="shared" si="1"/>
        <v>6245000</v>
      </c>
      <c r="AA47" s="15">
        <f t="shared" si="2"/>
        <v>1667000</v>
      </c>
      <c r="AB47" s="34">
        <f t="shared" si="3"/>
        <v>133000</v>
      </c>
      <c r="AC47" s="14"/>
    </row>
    <row r="48" s="3" customFormat="1" customHeight="1" spans="1:29">
      <c r="A48" s="14">
        <v>44</v>
      </c>
      <c r="B48" s="14" t="s">
        <v>40</v>
      </c>
      <c r="C48" s="14">
        <v>72</v>
      </c>
      <c r="D48" s="15">
        <v>7500000</v>
      </c>
      <c r="E48" s="16"/>
      <c r="F48" s="16"/>
      <c r="G48" s="16"/>
      <c r="H48" s="16"/>
      <c r="I48" s="16">
        <v>25000</v>
      </c>
      <c r="J48" s="21"/>
      <c r="K48" s="15"/>
      <c r="L48" s="15"/>
      <c r="M48" s="15">
        <v>0</v>
      </c>
      <c r="N48" s="15"/>
      <c r="O48" s="15">
        <v>0</v>
      </c>
      <c r="P48" s="15">
        <v>0</v>
      </c>
      <c r="Q48" s="15">
        <v>0</v>
      </c>
      <c r="R48" s="15">
        <v>0</v>
      </c>
      <c r="S48" s="15"/>
      <c r="T48" s="15"/>
      <c r="U48" s="15"/>
      <c r="V48" s="15">
        <f t="shared" ref="V48:X48" si="44">Q48*18%</f>
        <v>0</v>
      </c>
      <c r="W48" s="15">
        <f t="shared" si="44"/>
        <v>0</v>
      </c>
      <c r="X48" s="15">
        <f t="shared" si="44"/>
        <v>0</v>
      </c>
      <c r="Y48" s="15">
        <v>0</v>
      </c>
      <c r="Z48" s="33">
        <f t="shared" si="1"/>
        <v>25000</v>
      </c>
      <c r="AA48" s="15">
        <f t="shared" si="2"/>
        <v>25000</v>
      </c>
      <c r="AB48" s="34">
        <f t="shared" si="3"/>
        <v>7475000</v>
      </c>
      <c r="AC48" s="14"/>
    </row>
    <row r="49" s="3" customFormat="1" customHeight="1" spans="1:29">
      <c r="A49" s="14">
        <v>45</v>
      </c>
      <c r="B49" s="14" t="s">
        <v>43</v>
      </c>
      <c r="C49" s="14">
        <v>73</v>
      </c>
      <c r="D49" s="15">
        <v>7500000</v>
      </c>
      <c r="E49" s="16"/>
      <c r="F49" s="16"/>
      <c r="G49" s="16"/>
      <c r="H49" s="16"/>
      <c r="I49" s="21">
        <v>7556260</v>
      </c>
      <c r="J49" s="21"/>
      <c r="K49" s="15"/>
      <c r="L49" s="15"/>
      <c r="M49" s="15">
        <v>2662500</v>
      </c>
      <c r="N49" s="15"/>
      <c r="O49" s="15"/>
      <c r="P49" s="15"/>
      <c r="Q49" s="15"/>
      <c r="R49" s="15">
        <v>2662500</v>
      </c>
      <c r="S49" s="15"/>
      <c r="T49" s="15"/>
      <c r="U49" s="15"/>
      <c r="V49" s="15"/>
      <c r="W49" s="15">
        <f>R49*18%</f>
        <v>479250</v>
      </c>
      <c r="X49" s="15">
        <f>S49*18%</f>
        <v>0</v>
      </c>
      <c r="Y49" s="15">
        <v>0</v>
      </c>
      <c r="Z49" s="33">
        <f t="shared" si="1"/>
        <v>7556260</v>
      </c>
      <c r="AA49" s="15">
        <f t="shared" si="2"/>
        <v>1752010</v>
      </c>
      <c r="AB49" s="34">
        <f t="shared" si="3"/>
        <v>422990</v>
      </c>
      <c r="AC49" s="14"/>
    </row>
    <row r="50" s="3" customFormat="1" customHeight="1" spans="1:29">
      <c r="A50" s="14">
        <v>46</v>
      </c>
      <c r="B50" s="14" t="s">
        <v>56</v>
      </c>
      <c r="C50" s="14">
        <v>74</v>
      </c>
      <c r="D50" s="15">
        <v>3700000</v>
      </c>
      <c r="E50" s="16">
        <v>0</v>
      </c>
      <c r="F50" s="16">
        <f>200000+25000+250000+300000+300000+250000</f>
        <v>1325000</v>
      </c>
      <c r="G50" s="16">
        <f>250000+800000+581000</f>
        <v>1631000</v>
      </c>
      <c r="H50" s="16">
        <f>500000+244000</f>
        <v>744000</v>
      </c>
      <c r="I50" s="16">
        <f>300000+46264</f>
        <v>346264</v>
      </c>
      <c r="J50" s="21"/>
      <c r="K50" s="15">
        <v>1596000</v>
      </c>
      <c r="L50" s="15">
        <v>-358500</v>
      </c>
      <c r="M50" s="15">
        <v>612500</v>
      </c>
      <c r="N50" s="15"/>
      <c r="O50" s="15"/>
      <c r="P50" s="15">
        <f>825000+412500</f>
        <v>1237500</v>
      </c>
      <c r="Q50" s="15">
        <v>0</v>
      </c>
      <c r="R50" s="15">
        <f>612500</f>
        <v>612500</v>
      </c>
      <c r="S50" s="15"/>
      <c r="T50" s="15">
        <f t="shared" ref="T50:X50" si="45">O50*18%</f>
        <v>0</v>
      </c>
      <c r="U50" s="15">
        <f t="shared" si="45"/>
        <v>222750</v>
      </c>
      <c r="V50" s="15">
        <f t="shared" si="45"/>
        <v>0</v>
      </c>
      <c r="W50" s="15">
        <f t="shared" si="45"/>
        <v>110250</v>
      </c>
      <c r="X50" s="15">
        <f t="shared" si="45"/>
        <v>0</v>
      </c>
      <c r="Y50" s="15">
        <f>9204+41300+390-37630</f>
        <v>13264</v>
      </c>
      <c r="Z50" s="33">
        <f t="shared" si="1"/>
        <v>4046264</v>
      </c>
      <c r="AA50" s="15">
        <f t="shared" si="2"/>
        <v>0</v>
      </c>
      <c r="AB50" s="34">
        <f t="shared" si="3"/>
        <v>0</v>
      </c>
      <c r="AC50" s="14" t="s">
        <v>75</v>
      </c>
    </row>
    <row r="51" s="3" customFormat="1" customHeight="1" spans="1:29">
      <c r="A51" s="14">
        <v>47</v>
      </c>
      <c r="B51" s="14" t="s">
        <v>57</v>
      </c>
      <c r="C51" s="14">
        <v>75</v>
      </c>
      <c r="D51" s="15">
        <v>3272500</v>
      </c>
      <c r="E51" s="16">
        <v>0</v>
      </c>
      <c r="F51" s="16">
        <v>225000</v>
      </c>
      <c r="G51" s="16">
        <f>490875+706988</f>
        <v>1197863</v>
      </c>
      <c r="H51" s="16"/>
      <c r="I51" s="21">
        <v>1849637</v>
      </c>
      <c r="J51" s="21">
        <f>654566-171633</f>
        <v>482933</v>
      </c>
      <c r="K51" s="15">
        <v>225000</v>
      </c>
      <c r="L51" s="15">
        <v>852189</v>
      </c>
      <c r="M51" s="15"/>
      <c r="N51" s="15">
        <v>559061</v>
      </c>
      <c r="O51" s="15"/>
      <c r="P51" s="15">
        <f>718126+359063</f>
        <v>1077189</v>
      </c>
      <c r="Q51" s="15">
        <v>0</v>
      </c>
      <c r="R51" s="15"/>
      <c r="S51" s="15">
        <f>559061+14640</f>
        <v>573701</v>
      </c>
      <c r="T51" s="15">
        <f t="shared" ref="T51:X51" si="46">O51*18%</f>
        <v>0</v>
      </c>
      <c r="U51" s="15">
        <f t="shared" si="46"/>
        <v>193894.02</v>
      </c>
      <c r="V51" s="15">
        <f t="shared" si="46"/>
        <v>0</v>
      </c>
      <c r="W51" s="15">
        <f t="shared" si="46"/>
        <v>0</v>
      </c>
      <c r="X51" s="15">
        <f t="shared" si="46"/>
        <v>103266.18</v>
      </c>
      <c r="Y51" s="15">
        <f>47315+123817.6</f>
        <v>171132.6</v>
      </c>
      <c r="Z51" s="33">
        <f t="shared" si="1"/>
        <v>3755433</v>
      </c>
      <c r="AA51" s="15">
        <f t="shared" si="2"/>
        <v>0.199999999895226</v>
      </c>
      <c r="AB51" s="34">
        <f t="shared" si="3"/>
        <v>-14640.1999999999</v>
      </c>
      <c r="AC51" s="14" t="s">
        <v>75</v>
      </c>
    </row>
    <row r="52" s="3" customFormat="1" customHeight="1" spans="1:29">
      <c r="A52" s="14">
        <v>48</v>
      </c>
      <c r="B52" s="14" t="s">
        <v>58</v>
      </c>
      <c r="C52" s="14">
        <v>76</v>
      </c>
      <c r="D52" s="15">
        <v>3140000</v>
      </c>
      <c r="E52" s="16">
        <f>25000+200000</f>
        <v>225000</v>
      </c>
      <c r="F52" s="16">
        <f>250000+200000+200000</f>
        <v>650000</v>
      </c>
      <c r="G52" s="16">
        <f>1454000-477000</f>
        <v>977000</v>
      </c>
      <c r="H52" s="16">
        <v>1366500</v>
      </c>
      <c r="I52" s="16">
        <v>1036194</v>
      </c>
      <c r="J52" s="21">
        <v>73073</v>
      </c>
      <c r="K52" s="15">
        <v>1850000</v>
      </c>
      <c r="L52" s="15"/>
      <c r="M52" s="15"/>
      <c r="N52" s="15">
        <v>542500</v>
      </c>
      <c r="O52" s="15">
        <v>2000</v>
      </c>
      <c r="P52" s="15">
        <f>816000+7000+202500</f>
        <v>1025500</v>
      </c>
      <c r="Q52" s="15">
        <v>0</v>
      </c>
      <c r="R52" s="15"/>
      <c r="S52" s="15">
        <v>559892</v>
      </c>
      <c r="T52" s="15">
        <f t="shared" ref="T52:X52" si="47">O52*18%</f>
        <v>360</v>
      </c>
      <c r="U52" s="15">
        <f t="shared" si="47"/>
        <v>184590</v>
      </c>
      <c r="V52" s="15">
        <f t="shared" si="47"/>
        <v>0</v>
      </c>
      <c r="W52" s="15">
        <f t="shared" si="47"/>
        <v>0</v>
      </c>
      <c r="X52" s="15">
        <f t="shared" si="47"/>
        <v>100780.56</v>
      </c>
      <c r="Y52" s="15">
        <f>390+52550+9204</f>
        <v>62144</v>
      </c>
      <c r="Z52" s="33">
        <f t="shared" si="1"/>
        <v>4327767</v>
      </c>
      <c r="AA52" s="15">
        <f t="shared" si="2"/>
        <v>0.440000000002328</v>
      </c>
      <c r="AB52" s="34">
        <f t="shared" si="3"/>
        <v>-839892.44</v>
      </c>
      <c r="AC52" s="14"/>
    </row>
    <row r="53" s="3" customFormat="1" customHeight="1" spans="1:29">
      <c r="A53" s="14">
        <v>49</v>
      </c>
      <c r="B53" s="14" t="s">
        <v>59</v>
      </c>
      <c r="C53" s="14">
        <v>81</v>
      </c>
      <c r="D53" s="15">
        <v>5944000</v>
      </c>
      <c r="E53" s="16">
        <v>0</v>
      </c>
      <c r="F53" s="16">
        <v>0</v>
      </c>
      <c r="G53" s="16">
        <v>225000</v>
      </c>
      <c r="H53" s="16">
        <v>4212264</v>
      </c>
      <c r="I53" s="21">
        <v>925480</v>
      </c>
      <c r="J53" s="21"/>
      <c r="K53" s="15"/>
      <c r="L53" s="15">
        <v>1386000</v>
      </c>
      <c r="M53" s="15">
        <v>693000</v>
      </c>
      <c r="N53" s="15"/>
      <c r="O53" s="15"/>
      <c r="P53" s="15">
        <v>0</v>
      </c>
      <c r="Q53" s="15">
        <f>693000+693000</f>
        <v>1386000</v>
      </c>
      <c r="R53" s="15">
        <v>693000</v>
      </c>
      <c r="S53" s="15"/>
      <c r="T53" s="15">
        <f t="shared" ref="T53:X53" si="48">O53*18%</f>
        <v>0</v>
      </c>
      <c r="U53" s="15">
        <f t="shared" si="48"/>
        <v>0</v>
      </c>
      <c r="V53" s="15">
        <f t="shared" si="48"/>
        <v>249480</v>
      </c>
      <c r="W53" s="15">
        <f t="shared" si="48"/>
        <v>124740</v>
      </c>
      <c r="X53" s="15">
        <f t="shared" si="48"/>
        <v>0</v>
      </c>
      <c r="Y53" s="15">
        <v>9204</v>
      </c>
      <c r="Z53" s="33">
        <f t="shared" si="1"/>
        <v>5362744</v>
      </c>
      <c r="AA53" s="15">
        <f t="shared" si="2"/>
        <v>821320</v>
      </c>
      <c r="AB53" s="34">
        <f t="shared" si="3"/>
        <v>964680</v>
      </c>
      <c r="AC53" s="14"/>
    </row>
    <row r="54" s="3" customFormat="1" customHeight="1" spans="1:29">
      <c r="A54" s="14">
        <v>50</v>
      </c>
      <c r="B54" s="14" t="s">
        <v>60</v>
      </c>
      <c r="C54" s="14">
        <v>82</v>
      </c>
      <c r="D54" s="15">
        <v>5800000</v>
      </c>
      <c r="E54" s="16">
        <v>0</v>
      </c>
      <c r="F54" s="16">
        <v>0</v>
      </c>
      <c r="G54" s="16">
        <v>225000</v>
      </c>
      <c r="H54" s="16">
        <v>3853704</v>
      </c>
      <c r="I54" s="16">
        <v>1151500</v>
      </c>
      <c r="J54" s="21"/>
      <c r="K54" s="15"/>
      <c r="L54" s="15">
        <v>1350000</v>
      </c>
      <c r="M54" s="15">
        <v>675000</v>
      </c>
      <c r="N54" s="15"/>
      <c r="O54" s="15"/>
      <c r="P54" s="15">
        <v>0</v>
      </c>
      <c r="Q54" s="15">
        <f>675000+675000</f>
        <v>1350000</v>
      </c>
      <c r="R54" s="15">
        <v>675000</v>
      </c>
      <c r="S54" s="15"/>
      <c r="T54" s="15">
        <f t="shared" ref="T54:X54" si="49">O54*18%</f>
        <v>0</v>
      </c>
      <c r="U54" s="15">
        <f t="shared" si="49"/>
        <v>0</v>
      </c>
      <c r="V54" s="15">
        <f t="shared" si="49"/>
        <v>243000</v>
      </c>
      <c r="W54" s="15">
        <f t="shared" si="49"/>
        <v>121500</v>
      </c>
      <c r="X54" s="15">
        <f t="shared" si="49"/>
        <v>0</v>
      </c>
      <c r="Y54" s="15">
        <v>9204</v>
      </c>
      <c r="Z54" s="33">
        <f t="shared" si="1"/>
        <v>5230204</v>
      </c>
      <c r="AA54" s="15">
        <f t="shared" si="2"/>
        <v>806500</v>
      </c>
      <c r="AB54" s="34">
        <f t="shared" si="3"/>
        <v>943500</v>
      </c>
      <c r="AC54" s="14"/>
    </row>
    <row r="55" s="3" customFormat="1" customHeight="1" spans="1:29">
      <c r="A55" s="14">
        <v>51</v>
      </c>
      <c r="B55" s="14" t="s">
        <v>61</v>
      </c>
      <c r="C55" s="14">
        <v>84</v>
      </c>
      <c r="D55" s="15">
        <v>4600000</v>
      </c>
      <c r="E55" s="16"/>
      <c r="F55" s="16"/>
      <c r="G55" s="16"/>
      <c r="H55" s="16">
        <f>225000+690000+545000</f>
        <v>1460000</v>
      </c>
      <c r="I55" s="21">
        <v>1920023.6</v>
      </c>
      <c r="J55" s="21">
        <v>2025094.4</v>
      </c>
      <c r="K55" s="15">
        <v>0</v>
      </c>
      <c r="L55" s="15">
        <v>1050000</v>
      </c>
      <c r="M55" s="15">
        <v>525000</v>
      </c>
      <c r="N55" s="15">
        <v>525000</v>
      </c>
      <c r="O55" s="15">
        <v>0</v>
      </c>
      <c r="P55" s="15">
        <v>0</v>
      </c>
      <c r="Q55" s="15">
        <v>1050000</v>
      </c>
      <c r="R55" s="15">
        <v>525000</v>
      </c>
      <c r="S55" s="15">
        <v>525000</v>
      </c>
      <c r="T55" s="15">
        <f t="shared" ref="T55:X55" si="50">O55*18%</f>
        <v>0</v>
      </c>
      <c r="U55" s="15">
        <f t="shared" si="50"/>
        <v>0</v>
      </c>
      <c r="V55" s="15">
        <f t="shared" si="50"/>
        <v>189000</v>
      </c>
      <c r="W55" s="15">
        <f t="shared" si="50"/>
        <v>94500</v>
      </c>
      <c r="X55" s="15">
        <f t="shared" si="50"/>
        <v>94500</v>
      </c>
      <c r="Y55" s="15">
        <v>0</v>
      </c>
      <c r="Z55" s="33">
        <f t="shared" si="1"/>
        <v>5405118</v>
      </c>
      <c r="AA55" s="15">
        <f t="shared" si="2"/>
        <v>827118</v>
      </c>
      <c r="AB55" s="34">
        <f t="shared" si="3"/>
        <v>-427118</v>
      </c>
      <c r="AC55" s="14"/>
    </row>
    <row r="56" s="3" customFormat="1" customHeight="1" spans="1:29">
      <c r="A56" s="14">
        <v>52</v>
      </c>
      <c r="B56" s="14" t="s">
        <v>62</v>
      </c>
      <c r="C56" s="14">
        <v>87</v>
      </c>
      <c r="D56" s="15">
        <v>4300000</v>
      </c>
      <c r="E56" s="16">
        <v>0</v>
      </c>
      <c r="F56" s="16">
        <v>0</v>
      </c>
      <c r="G56" s="16">
        <v>525000</v>
      </c>
      <c r="H56" s="16">
        <f>300000+2629000</f>
        <v>2929000</v>
      </c>
      <c r="I56" s="16"/>
      <c r="J56" s="21">
        <v>846000</v>
      </c>
      <c r="K56" s="15">
        <v>0</v>
      </c>
      <c r="L56" s="15">
        <v>1462500</v>
      </c>
      <c r="M56" s="15"/>
      <c r="N56" s="15"/>
      <c r="O56" s="15">
        <v>0</v>
      </c>
      <c r="P56" s="15">
        <v>0</v>
      </c>
      <c r="Q56" s="15">
        <f>487500+975000</f>
        <v>1462500</v>
      </c>
      <c r="R56" s="15"/>
      <c r="S56" s="15"/>
      <c r="T56" s="15">
        <f t="shared" ref="T56:X56" si="51">O56*18%</f>
        <v>0</v>
      </c>
      <c r="U56" s="15">
        <f t="shared" si="51"/>
        <v>0</v>
      </c>
      <c r="V56" s="15">
        <f t="shared" si="51"/>
        <v>263250</v>
      </c>
      <c r="W56" s="15">
        <f t="shared" si="51"/>
        <v>0</v>
      </c>
      <c r="X56" s="15">
        <f t="shared" si="51"/>
        <v>0</v>
      </c>
      <c r="Y56" s="15">
        <v>0</v>
      </c>
      <c r="Z56" s="33">
        <f t="shared" si="1"/>
        <v>4300000</v>
      </c>
      <c r="AA56" s="15">
        <f t="shared" si="2"/>
        <v>1111750</v>
      </c>
      <c r="AB56" s="34">
        <f t="shared" si="3"/>
        <v>263250</v>
      </c>
      <c r="AC56" s="14"/>
    </row>
    <row r="57" s="3" customFormat="1" customHeight="1" spans="1:29">
      <c r="A57" s="14">
        <v>53</v>
      </c>
      <c r="B57" s="14" t="s">
        <v>63</v>
      </c>
      <c r="C57" s="14">
        <v>91</v>
      </c>
      <c r="D57" s="15">
        <v>3564000</v>
      </c>
      <c r="E57" s="16">
        <v>0</v>
      </c>
      <c r="F57" s="16">
        <v>0</v>
      </c>
      <c r="G57" s="16">
        <f>1540500+1563000</f>
        <v>3103500</v>
      </c>
      <c r="H57" s="16">
        <v>0</v>
      </c>
      <c r="I57" s="21">
        <f>500000+537000-100000-90403</f>
        <v>846597</v>
      </c>
      <c r="J57" s="21"/>
      <c r="K57" s="15">
        <v>759000</v>
      </c>
      <c r="L57" s="15">
        <v>427500</v>
      </c>
      <c r="M57" s="15">
        <v>595500</v>
      </c>
      <c r="N57" s="15"/>
      <c r="O57" s="15"/>
      <c r="P57" s="15">
        <f>456000+377000-42000</f>
        <v>791000</v>
      </c>
      <c r="Q57" s="15">
        <v>395500</v>
      </c>
      <c r="R57" s="15">
        <v>595500</v>
      </c>
      <c r="S57" s="15"/>
      <c r="T57" s="15">
        <f t="shared" ref="T57:X57" si="52">O57*18%</f>
        <v>0</v>
      </c>
      <c r="U57" s="15">
        <f t="shared" si="52"/>
        <v>142380</v>
      </c>
      <c r="V57" s="15">
        <f t="shared" si="52"/>
        <v>71190</v>
      </c>
      <c r="W57" s="15">
        <f t="shared" si="52"/>
        <v>107190</v>
      </c>
      <c r="X57" s="15">
        <f t="shared" si="52"/>
        <v>0</v>
      </c>
      <c r="Y57" s="15">
        <f>9204+14443+390+41300</f>
        <v>65337</v>
      </c>
      <c r="Z57" s="33">
        <f t="shared" si="1"/>
        <v>3950097</v>
      </c>
      <c r="AA57" s="15">
        <f t="shared" si="2"/>
        <v>0</v>
      </c>
      <c r="AB57" s="34">
        <f t="shared" si="3"/>
        <v>0</v>
      </c>
      <c r="AC57" s="14" t="s">
        <v>75</v>
      </c>
    </row>
    <row r="58" s="3" customFormat="1" customHeight="1" spans="1:29">
      <c r="A58" s="14"/>
      <c r="B58" s="17" t="s">
        <v>64</v>
      </c>
      <c r="C58" s="17"/>
      <c r="D58" s="18">
        <f t="shared" ref="D58:I58" si="53">SUM(D5:D57)</f>
        <v>250785500</v>
      </c>
      <c r="E58" s="18">
        <f t="shared" si="53"/>
        <v>4580000</v>
      </c>
      <c r="F58" s="18">
        <f t="shared" si="53"/>
        <v>22831620</v>
      </c>
      <c r="G58" s="18">
        <f t="shared" si="53"/>
        <v>34296394</v>
      </c>
      <c r="H58" s="18">
        <f t="shared" si="53"/>
        <v>72351747</v>
      </c>
      <c r="I58" s="18">
        <f t="shared" si="53"/>
        <v>93509830.6</v>
      </c>
      <c r="J58" s="18"/>
      <c r="K58" s="22">
        <f t="shared" ref="K58:M58" si="54">SUM(K5:K57)</f>
        <v>28752480</v>
      </c>
      <c r="L58" s="22">
        <f t="shared" si="54"/>
        <v>28887064</v>
      </c>
      <c r="M58" s="23">
        <f t="shared" si="54"/>
        <v>24596918</v>
      </c>
      <c r="N58" s="23"/>
      <c r="O58" s="23">
        <f t="shared" ref="O58:R58" si="55">SUM(O5:O57)</f>
        <v>6600250</v>
      </c>
      <c r="P58" s="23">
        <f t="shared" si="55"/>
        <v>20219914</v>
      </c>
      <c r="Q58" s="23">
        <f t="shared" si="55"/>
        <v>28898000</v>
      </c>
      <c r="R58" s="23">
        <f t="shared" si="55"/>
        <v>25059082</v>
      </c>
      <c r="S58" s="23"/>
      <c r="T58" s="23">
        <f t="shared" ref="T58:V58" si="56">SUM(T5:T57)</f>
        <v>1188045</v>
      </c>
      <c r="U58" s="23">
        <f t="shared" si="56"/>
        <v>3639584.52</v>
      </c>
      <c r="V58" s="23">
        <f t="shared" si="56"/>
        <v>5201640</v>
      </c>
      <c r="W58" s="23">
        <f>R58*18%</f>
        <v>4510634.76</v>
      </c>
      <c r="X58" s="23"/>
      <c r="Y58" s="22">
        <f t="shared" ref="Y58:AB58" si="57">SUM(Y5:Y57)</f>
        <v>4420147</v>
      </c>
      <c r="Z58" s="35">
        <f>E58+F58+G58+H58+I58</f>
        <v>227569591.6</v>
      </c>
      <c r="AA58" s="36">
        <f t="shared" si="57"/>
        <v>27750246.2216</v>
      </c>
      <c r="AB58" s="35">
        <f t="shared" si="57"/>
        <v>27417276.8984</v>
      </c>
      <c r="AC58" s="14"/>
    </row>
    <row r="60" s="3" customFormat="1" customHeight="1" spans="1:28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9"/>
      <c r="AB60" s="8"/>
    </row>
  </sheetData>
  <printOptions gridLines="1"/>
  <pageMargins left="0.275590551181102" right="0.078740157480315" top="0.433070866141732" bottom="0.590551181102362" header="0.31496062992126" footer="0.31496062992126"/>
  <pageSetup paperSize="1" scale="8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zoomScale="90" zoomScaleNormal="90" workbookViewId="0">
      <pane ySplit="5" topLeftCell="A14" activePane="bottomLeft" state="frozen"/>
      <selection/>
      <selection pane="bottomLeft" activeCell="L17" sqref="L17"/>
    </sheetView>
  </sheetViews>
  <sheetFormatPr defaultColWidth="9.13888888888889" defaultRowHeight="15.95" customHeight="1"/>
  <cols>
    <col min="1" max="1" width="4.85185185185185" style="72" customWidth="1"/>
    <col min="2" max="2" width="30.1388888888889" style="72" customWidth="1"/>
    <col min="3" max="3" width="5" style="73" customWidth="1"/>
    <col min="4" max="4" width="13.4259259259259" style="74" customWidth="1"/>
    <col min="5" max="5" width="10.712962962963" style="71" customWidth="1"/>
    <col min="6" max="7" width="11.4259259259259" style="71" customWidth="1"/>
    <col min="8" max="8" width="12.4259259259259" style="71" customWidth="1"/>
    <col min="9" max="9" width="11.4259259259259" style="71" customWidth="1"/>
    <col min="10" max="10" width="11.1388888888889" style="71" customWidth="1"/>
    <col min="11" max="12" width="11.4259259259259" style="71" customWidth="1"/>
    <col min="13" max="15" width="11" style="4" customWidth="1"/>
    <col min="16" max="16" width="11.8518518518519" style="71" customWidth="1"/>
    <col min="17" max="17" width="14.712962962963" style="71" customWidth="1"/>
    <col min="18" max="18" width="13.5740740740741" style="71" customWidth="1"/>
    <col min="19" max="19" width="12.4259259259259" style="71" customWidth="1"/>
    <col min="20" max="16384" width="9.13888888888889" style="72"/>
  </cols>
  <sheetData>
    <row r="1" s="69" customFormat="1" customHeight="1" spans="1:19">
      <c r="A1" s="75" t="s">
        <v>0</v>
      </c>
      <c r="B1" s="75"/>
      <c r="C1" s="75"/>
      <c r="D1" s="75"/>
      <c r="E1" s="75"/>
      <c r="F1" s="75"/>
      <c r="G1" s="76"/>
      <c r="H1" s="76"/>
      <c r="I1" s="76"/>
      <c r="J1" s="76"/>
      <c r="K1" s="76"/>
      <c r="L1" s="76"/>
      <c r="M1" s="1"/>
      <c r="N1" s="39"/>
      <c r="O1" s="39"/>
      <c r="P1" s="76"/>
      <c r="Q1" s="76"/>
      <c r="R1" s="76"/>
      <c r="S1" s="92"/>
    </row>
    <row r="2" s="69" customFormat="1" customHeight="1" spans="1:19">
      <c r="A2" s="75" t="s">
        <v>65</v>
      </c>
      <c r="B2" s="75"/>
      <c r="C2" s="75"/>
      <c r="D2" s="75"/>
      <c r="E2" s="75"/>
      <c r="F2" s="75"/>
      <c r="G2" s="76"/>
      <c r="H2" s="76"/>
      <c r="I2" s="76"/>
      <c r="J2" s="76"/>
      <c r="K2" s="76"/>
      <c r="L2" s="76"/>
      <c r="M2" s="1"/>
      <c r="N2" s="39"/>
      <c r="O2" s="39"/>
      <c r="P2" s="76"/>
      <c r="Q2" s="76"/>
      <c r="R2" s="76"/>
      <c r="S2" s="92"/>
    </row>
    <row r="3" s="69" customFormat="1" customHeight="1" spans="1:19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39"/>
      <c r="O3" s="39"/>
      <c r="P3" s="76"/>
      <c r="Q3" s="76"/>
      <c r="R3" s="76"/>
      <c r="S3" s="92"/>
    </row>
    <row r="4" customHeight="1" spans="1:19">
      <c r="A4" s="77"/>
      <c r="B4" s="77"/>
      <c r="C4" s="77"/>
      <c r="D4" s="78"/>
      <c r="E4" s="77"/>
      <c r="F4" s="77"/>
      <c r="G4" s="77"/>
      <c r="H4" s="77"/>
      <c r="I4" s="77"/>
      <c r="J4" s="77"/>
      <c r="K4" s="77"/>
      <c r="L4" s="77"/>
      <c r="M4" s="40"/>
      <c r="N4" s="40"/>
      <c r="O4" s="40"/>
      <c r="P4" s="72"/>
      <c r="S4" s="77"/>
    </row>
    <row r="5" s="70" customFormat="1" ht="53.25" customHeight="1" spans="1:19">
      <c r="A5" s="79" t="s">
        <v>3</v>
      </c>
      <c r="B5" s="79" t="s">
        <v>4</v>
      </c>
      <c r="C5" s="80" t="s">
        <v>5</v>
      </c>
      <c r="D5" s="81" t="s">
        <v>6</v>
      </c>
      <c r="E5" s="82" t="s">
        <v>7</v>
      </c>
      <c r="F5" s="82" t="s">
        <v>8</v>
      </c>
      <c r="G5" s="82" t="s">
        <v>9</v>
      </c>
      <c r="H5" s="82" t="s">
        <v>66</v>
      </c>
      <c r="I5" s="82" t="s">
        <v>11</v>
      </c>
      <c r="J5" s="82" t="s">
        <v>12</v>
      </c>
      <c r="K5" s="82" t="s">
        <v>13</v>
      </c>
      <c r="L5" s="82" t="s">
        <v>14</v>
      </c>
      <c r="M5" s="82" t="s">
        <v>15</v>
      </c>
      <c r="N5" s="82" t="s">
        <v>16</v>
      </c>
      <c r="O5" s="82" t="s">
        <v>17</v>
      </c>
      <c r="P5" s="82" t="s">
        <v>18</v>
      </c>
      <c r="Q5" s="82" t="s">
        <v>19</v>
      </c>
      <c r="R5" s="82" t="s">
        <v>20</v>
      </c>
      <c r="S5" s="82" t="s">
        <v>21</v>
      </c>
    </row>
    <row r="6" customHeight="1" spans="1:19">
      <c r="A6" s="83">
        <v>1</v>
      </c>
      <c r="B6" s="83" t="s">
        <v>22</v>
      </c>
      <c r="C6" s="83">
        <v>6</v>
      </c>
      <c r="D6" s="84">
        <v>4500000</v>
      </c>
      <c r="E6" s="85">
        <v>225000</v>
      </c>
      <c r="F6" s="85">
        <v>75000</v>
      </c>
      <c r="G6" s="85">
        <v>0</v>
      </c>
      <c r="H6" s="85">
        <f>2600000+600000+800000</f>
        <v>4000000</v>
      </c>
      <c r="I6" s="85">
        <v>1920000</v>
      </c>
      <c r="J6" s="85"/>
      <c r="K6" s="85">
        <f>690000+847500</f>
        <v>1537500</v>
      </c>
      <c r="L6" s="85">
        <v>0</v>
      </c>
      <c r="M6" s="85">
        <f t="shared" ref="M6:O19" si="0">J6*18%</f>
        <v>0</v>
      </c>
      <c r="N6" s="91">
        <f t="shared" si="0"/>
        <v>276750</v>
      </c>
      <c r="O6" s="91">
        <f t="shared" si="0"/>
        <v>0</v>
      </c>
      <c r="P6" s="85">
        <v>0</v>
      </c>
      <c r="Q6" s="85">
        <f>E6+F6+G6+H6</f>
        <v>4300000</v>
      </c>
      <c r="R6" s="85">
        <f t="shared" ref="R6:R51" si="1">Q6-I6-J6-K6-P6-M6-N6-L6-O6</f>
        <v>565750</v>
      </c>
      <c r="S6" s="93">
        <f t="shared" ref="S6:S30" si="2">D6+M6+N6+P6+O6-Q6</f>
        <v>476750</v>
      </c>
    </row>
    <row r="7" customHeight="1" spans="1:19">
      <c r="A7" s="83">
        <v>2</v>
      </c>
      <c r="B7" s="83" t="s">
        <v>23</v>
      </c>
      <c r="C7" s="83">
        <v>16</v>
      </c>
      <c r="D7" s="84">
        <v>4144000</v>
      </c>
      <c r="E7" s="85">
        <v>0</v>
      </c>
      <c r="F7" s="85">
        <v>0</v>
      </c>
      <c r="G7" s="85">
        <f>225000</f>
        <v>225000</v>
      </c>
      <c r="H7" s="85">
        <f>891600+976440</f>
        <v>1868040</v>
      </c>
      <c r="I7" s="85"/>
      <c r="J7" s="85"/>
      <c r="K7" s="85">
        <v>0</v>
      </c>
      <c r="L7" s="85">
        <f>1386000-450000</f>
        <v>936000</v>
      </c>
      <c r="M7" s="85">
        <f t="shared" si="0"/>
        <v>0</v>
      </c>
      <c r="N7" s="91">
        <f t="shared" si="0"/>
        <v>0</v>
      </c>
      <c r="O7" s="91">
        <f t="shared" si="0"/>
        <v>168480</v>
      </c>
      <c r="P7" s="85">
        <v>0</v>
      </c>
      <c r="Q7" s="85">
        <f t="shared" ref="Q7:Q51" si="3">E7+F7+G7+H7</f>
        <v>2093040</v>
      </c>
      <c r="R7" s="85">
        <f t="shared" si="1"/>
        <v>988560</v>
      </c>
      <c r="S7" s="93">
        <f t="shared" si="2"/>
        <v>2219440</v>
      </c>
    </row>
    <row r="8" customHeight="1" spans="1:19">
      <c r="A8" s="83">
        <v>4</v>
      </c>
      <c r="B8" s="83" t="s">
        <v>25</v>
      </c>
      <c r="C8" s="83">
        <v>19</v>
      </c>
      <c r="D8" s="84">
        <v>4500000</v>
      </c>
      <c r="E8" s="85"/>
      <c r="F8" s="85"/>
      <c r="G8" s="85"/>
      <c r="H8" s="85">
        <v>4500000</v>
      </c>
      <c r="I8" s="85">
        <v>0</v>
      </c>
      <c r="J8" s="85"/>
      <c r="K8" s="85"/>
      <c r="L8" s="85">
        <v>512500</v>
      </c>
      <c r="M8" s="85">
        <f t="shared" si="0"/>
        <v>0</v>
      </c>
      <c r="N8" s="91">
        <f t="shared" si="0"/>
        <v>0</v>
      </c>
      <c r="O8" s="91">
        <f t="shared" si="0"/>
        <v>92250</v>
      </c>
      <c r="P8" s="85">
        <v>0</v>
      </c>
      <c r="Q8" s="85">
        <f t="shared" si="3"/>
        <v>4500000</v>
      </c>
      <c r="R8" s="85">
        <f t="shared" si="1"/>
        <v>3895250</v>
      </c>
      <c r="S8" s="93">
        <f t="shared" si="2"/>
        <v>92250</v>
      </c>
    </row>
    <row r="9" customHeight="1" spans="1:19">
      <c r="A9" s="83">
        <v>5</v>
      </c>
      <c r="B9" s="83" t="s">
        <v>26</v>
      </c>
      <c r="C9" s="83">
        <v>21</v>
      </c>
      <c r="D9" s="84">
        <v>3600000</v>
      </c>
      <c r="E9" s="85">
        <f>25000+150000</f>
        <v>175000</v>
      </c>
      <c r="F9" s="85">
        <f>100000+180000+40000+200000+105000+200000+1200000</f>
        <v>2025000</v>
      </c>
      <c r="G9" s="85">
        <f>200000+150000+300000</f>
        <v>650000</v>
      </c>
      <c r="H9" s="85">
        <f>126000+550000</f>
        <v>676000</v>
      </c>
      <c r="I9" s="85">
        <v>1800000</v>
      </c>
      <c r="J9" s="85">
        <v>1073000</v>
      </c>
      <c r="K9" s="85">
        <v>127000</v>
      </c>
      <c r="L9" s="85">
        <v>0</v>
      </c>
      <c r="M9" s="85">
        <f t="shared" si="0"/>
        <v>193140</v>
      </c>
      <c r="N9" s="91">
        <f t="shared" si="0"/>
        <v>22860</v>
      </c>
      <c r="O9" s="91">
        <f t="shared" si="0"/>
        <v>0</v>
      </c>
      <c r="P9" s="85">
        <f>10620+9204</f>
        <v>19824</v>
      </c>
      <c r="Q9" s="85">
        <f t="shared" si="3"/>
        <v>3526000</v>
      </c>
      <c r="R9" s="85">
        <f t="shared" si="1"/>
        <v>290176</v>
      </c>
      <c r="S9" s="93">
        <f t="shared" si="2"/>
        <v>309824</v>
      </c>
    </row>
    <row r="10" customHeight="1" spans="1:19">
      <c r="A10" s="83">
        <v>6</v>
      </c>
      <c r="B10" s="83" t="s">
        <v>27</v>
      </c>
      <c r="C10" s="83">
        <v>22</v>
      </c>
      <c r="D10" s="84">
        <v>3600000</v>
      </c>
      <c r="E10" s="85">
        <f>25000+200000</f>
        <v>225000</v>
      </c>
      <c r="F10" s="85">
        <f>250000+200000</f>
        <v>450000</v>
      </c>
      <c r="G10" s="85">
        <f>460000+2400000</f>
        <v>2860000</v>
      </c>
      <c r="H10" s="85">
        <f>480000+101263</f>
        <v>581263</v>
      </c>
      <c r="I10" s="85">
        <v>1800000</v>
      </c>
      <c r="J10" s="85">
        <v>1073000</v>
      </c>
      <c r="K10" s="85">
        <v>127000</v>
      </c>
      <c r="L10" s="85">
        <v>600000</v>
      </c>
      <c r="M10" s="85">
        <f t="shared" si="0"/>
        <v>193140</v>
      </c>
      <c r="N10" s="91">
        <f t="shared" si="0"/>
        <v>22860</v>
      </c>
      <c r="O10" s="91">
        <f t="shared" si="0"/>
        <v>108000</v>
      </c>
      <c r="P10" s="85">
        <f>1800+133850+390+30000+50+16709</f>
        <v>182799</v>
      </c>
      <c r="Q10" s="85">
        <f t="shared" si="3"/>
        <v>4116263</v>
      </c>
      <c r="R10" s="85">
        <f t="shared" si="1"/>
        <v>9464</v>
      </c>
      <c r="S10" s="93">
        <f t="shared" si="2"/>
        <v>-9464</v>
      </c>
    </row>
    <row r="11" customHeight="1" spans="1:19">
      <c r="A11" s="83">
        <v>7</v>
      </c>
      <c r="B11" s="83" t="s">
        <v>25</v>
      </c>
      <c r="C11" s="83">
        <v>25</v>
      </c>
      <c r="D11" s="84">
        <v>4500000</v>
      </c>
      <c r="E11" s="85"/>
      <c r="F11" s="85"/>
      <c r="G11" s="85"/>
      <c r="H11" s="85">
        <v>4500000</v>
      </c>
      <c r="I11" s="85"/>
      <c r="J11" s="85"/>
      <c r="K11" s="85"/>
      <c r="L11" s="85">
        <v>512500</v>
      </c>
      <c r="M11" s="85">
        <f t="shared" si="0"/>
        <v>0</v>
      </c>
      <c r="N11" s="91">
        <f t="shared" si="0"/>
        <v>0</v>
      </c>
      <c r="O11" s="91">
        <f t="shared" si="0"/>
        <v>92250</v>
      </c>
      <c r="P11" s="85"/>
      <c r="Q11" s="85">
        <f t="shared" si="3"/>
        <v>4500000</v>
      </c>
      <c r="R11" s="85">
        <f t="shared" si="1"/>
        <v>3895250</v>
      </c>
      <c r="S11" s="93">
        <f t="shared" si="2"/>
        <v>92250</v>
      </c>
    </row>
    <row r="12" customHeight="1" spans="1:19">
      <c r="A12" s="83">
        <v>8</v>
      </c>
      <c r="B12" s="83" t="s">
        <v>28</v>
      </c>
      <c r="C12" s="83">
        <v>29</v>
      </c>
      <c r="D12" s="84">
        <v>4200000</v>
      </c>
      <c r="E12" s="85">
        <v>0</v>
      </c>
      <c r="F12" s="85">
        <v>0</v>
      </c>
      <c r="G12" s="85">
        <f>225000+630000+943500</f>
        <v>1798500</v>
      </c>
      <c r="H12" s="85">
        <f>943500+629000</f>
        <v>1572500</v>
      </c>
      <c r="I12" s="85"/>
      <c r="J12" s="85"/>
      <c r="K12" s="85">
        <f>950000</f>
        <v>950000</v>
      </c>
      <c r="L12" s="85">
        <v>475000</v>
      </c>
      <c r="M12" s="85">
        <f t="shared" si="0"/>
        <v>0</v>
      </c>
      <c r="N12" s="91">
        <f t="shared" si="0"/>
        <v>171000</v>
      </c>
      <c r="O12" s="91">
        <f t="shared" si="0"/>
        <v>85500</v>
      </c>
      <c r="P12" s="85">
        <v>0</v>
      </c>
      <c r="Q12" s="85">
        <f t="shared" si="3"/>
        <v>3371000</v>
      </c>
      <c r="R12" s="85">
        <f t="shared" si="1"/>
        <v>1689500</v>
      </c>
      <c r="S12" s="93">
        <f t="shared" si="2"/>
        <v>1085500</v>
      </c>
    </row>
    <row r="13" customHeight="1" spans="1:19">
      <c r="A13" s="83">
        <v>9</v>
      </c>
      <c r="B13" s="83" t="s">
        <v>29</v>
      </c>
      <c r="C13" s="83">
        <v>30</v>
      </c>
      <c r="D13" s="84">
        <v>3700000</v>
      </c>
      <c r="E13" s="85">
        <f>25000+200000</f>
        <v>225000</v>
      </c>
      <c r="F13" s="85">
        <f>400000+155000+816000+816000</f>
        <v>2187000</v>
      </c>
      <c r="G13" s="85">
        <v>0</v>
      </c>
      <c r="H13" s="85">
        <f>544000+544000</f>
        <v>1088000</v>
      </c>
      <c r="I13" s="85">
        <v>1596000</v>
      </c>
      <c r="J13" s="85"/>
      <c r="K13" s="85">
        <f>562000+263000+412500</f>
        <v>1237500</v>
      </c>
      <c r="L13" s="85">
        <v>0</v>
      </c>
      <c r="M13" s="85">
        <f t="shared" si="0"/>
        <v>0</v>
      </c>
      <c r="N13" s="91">
        <f t="shared" si="0"/>
        <v>222750</v>
      </c>
      <c r="O13" s="91">
        <f t="shared" si="0"/>
        <v>0</v>
      </c>
      <c r="P13" s="85">
        <v>9204</v>
      </c>
      <c r="Q13" s="85">
        <f t="shared" si="3"/>
        <v>3500000</v>
      </c>
      <c r="R13" s="85">
        <f t="shared" si="1"/>
        <v>434546</v>
      </c>
      <c r="S13" s="93">
        <f t="shared" si="2"/>
        <v>431954</v>
      </c>
    </row>
    <row r="14" customHeight="1" spans="1:19">
      <c r="A14" s="83">
        <v>10</v>
      </c>
      <c r="B14" s="83" t="s">
        <v>30</v>
      </c>
      <c r="C14" s="83">
        <v>31</v>
      </c>
      <c r="D14" s="84">
        <v>4200000</v>
      </c>
      <c r="E14" s="85">
        <v>0</v>
      </c>
      <c r="F14" s="85">
        <v>0</v>
      </c>
      <c r="G14" s="85">
        <f>225000</f>
        <v>225000</v>
      </c>
      <c r="H14" s="85">
        <f>630000+2496000</f>
        <v>3126000</v>
      </c>
      <c r="I14" s="85"/>
      <c r="J14" s="85"/>
      <c r="K14" s="85">
        <f>475000+475000</f>
        <v>950000</v>
      </c>
      <c r="L14" s="85">
        <v>475000</v>
      </c>
      <c r="M14" s="85">
        <f t="shared" si="0"/>
        <v>0</v>
      </c>
      <c r="N14" s="91">
        <f t="shared" si="0"/>
        <v>171000</v>
      </c>
      <c r="O14" s="91">
        <f t="shared" si="0"/>
        <v>85500</v>
      </c>
      <c r="P14" s="85">
        <v>0</v>
      </c>
      <c r="Q14" s="85">
        <f t="shared" si="3"/>
        <v>3351000</v>
      </c>
      <c r="R14" s="85">
        <f t="shared" si="1"/>
        <v>1669500</v>
      </c>
      <c r="S14" s="93">
        <f t="shared" si="2"/>
        <v>1105500</v>
      </c>
    </row>
    <row r="15" customHeight="1" spans="1:19">
      <c r="A15" s="83">
        <v>11</v>
      </c>
      <c r="B15" s="83" t="s">
        <v>31</v>
      </c>
      <c r="C15" s="83">
        <v>32</v>
      </c>
      <c r="D15" s="84">
        <v>5325000</v>
      </c>
      <c r="E15" s="85">
        <f>25000+200000</f>
        <v>225000</v>
      </c>
      <c r="F15" s="85">
        <f>300000+480000</f>
        <v>780000</v>
      </c>
      <c r="G15" s="85">
        <f>1080000+108816+250000+250000+673625+2662500</f>
        <v>5024941</v>
      </c>
      <c r="H15" s="85">
        <v>0</v>
      </c>
      <c r="I15" s="85">
        <v>2662500</v>
      </c>
      <c r="J15" s="85">
        <v>1642250</v>
      </c>
      <c r="K15" s="85">
        <v>204625</v>
      </c>
      <c r="L15" s="85">
        <v>0</v>
      </c>
      <c r="M15" s="85">
        <f t="shared" si="0"/>
        <v>295605</v>
      </c>
      <c r="N15" s="91">
        <f t="shared" si="0"/>
        <v>36832.5</v>
      </c>
      <c r="O15" s="91">
        <f t="shared" si="0"/>
        <v>0</v>
      </c>
      <c r="P15" s="85">
        <v>196897</v>
      </c>
      <c r="Q15" s="85">
        <f t="shared" si="3"/>
        <v>6029941</v>
      </c>
      <c r="R15" s="85">
        <f t="shared" si="1"/>
        <v>991231.5</v>
      </c>
      <c r="S15" s="93">
        <f t="shared" si="2"/>
        <v>-175606.5</v>
      </c>
    </row>
    <row r="16" customHeight="1" spans="1:19">
      <c r="A16" s="83">
        <v>12</v>
      </c>
      <c r="B16" s="83" t="s">
        <v>32</v>
      </c>
      <c r="C16" s="83">
        <v>33</v>
      </c>
      <c r="D16" s="84">
        <v>4250000</v>
      </c>
      <c r="E16" s="85">
        <v>0</v>
      </c>
      <c r="F16" s="85">
        <v>0</v>
      </c>
      <c r="G16" s="85">
        <f>250000</f>
        <v>250000</v>
      </c>
      <c r="H16" s="85">
        <f>605000+956250+1356554+637500</f>
        <v>3555304</v>
      </c>
      <c r="I16" s="85">
        <v>0</v>
      </c>
      <c r="J16" s="85"/>
      <c r="K16" s="85">
        <v>0</v>
      </c>
      <c r="L16" s="85">
        <f>481250+481250+481250</f>
        <v>1443750</v>
      </c>
      <c r="M16" s="85">
        <f t="shared" si="0"/>
        <v>0</v>
      </c>
      <c r="N16" s="91">
        <f t="shared" si="0"/>
        <v>0</v>
      </c>
      <c r="O16" s="91">
        <f t="shared" si="0"/>
        <v>259875</v>
      </c>
      <c r="P16" s="85">
        <v>9204</v>
      </c>
      <c r="Q16" s="85">
        <f t="shared" si="3"/>
        <v>3805304</v>
      </c>
      <c r="R16" s="85">
        <f t="shared" si="1"/>
        <v>2092475</v>
      </c>
      <c r="S16" s="93">
        <f t="shared" si="2"/>
        <v>713775</v>
      </c>
    </row>
    <row r="17" customHeight="1" spans="1:19">
      <c r="A17" s="83">
        <v>13</v>
      </c>
      <c r="B17" s="83" t="s">
        <v>33</v>
      </c>
      <c r="C17" s="83">
        <v>34</v>
      </c>
      <c r="D17" s="84">
        <v>3750000</v>
      </c>
      <c r="E17" s="85">
        <f>250000+250000+200000</f>
        <v>700000</v>
      </c>
      <c r="F17" s="85">
        <v>0</v>
      </c>
      <c r="G17" s="85">
        <v>0</v>
      </c>
      <c r="H17" s="85">
        <f>917000+828000+527500</f>
        <v>2272500</v>
      </c>
      <c r="I17" s="85">
        <v>787500</v>
      </c>
      <c r="J17" s="85"/>
      <c r="K17" s="85"/>
      <c r="L17" s="85">
        <f>481250+481250+481250-187500</f>
        <v>1256250</v>
      </c>
      <c r="M17" s="85">
        <f t="shared" si="0"/>
        <v>0</v>
      </c>
      <c r="N17" s="91">
        <f t="shared" si="0"/>
        <v>0</v>
      </c>
      <c r="O17" s="91">
        <f t="shared" si="0"/>
        <v>226125</v>
      </c>
      <c r="P17" s="85">
        <v>0</v>
      </c>
      <c r="Q17" s="85">
        <f t="shared" si="3"/>
        <v>2972500</v>
      </c>
      <c r="R17" s="85">
        <f t="shared" si="1"/>
        <v>702625</v>
      </c>
      <c r="S17" s="93">
        <f t="shared" si="2"/>
        <v>1003625</v>
      </c>
    </row>
    <row r="18" customHeight="1" spans="1:19">
      <c r="A18" s="83">
        <v>14</v>
      </c>
      <c r="B18" s="83" t="s">
        <v>34</v>
      </c>
      <c r="C18" s="83">
        <v>35</v>
      </c>
      <c r="D18" s="84">
        <v>3700000</v>
      </c>
      <c r="E18" s="85">
        <f>25000+200000</f>
        <v>225000</v>
      </c>
      <c r="F18" s="85">
        <f>275000+1912000</f>
        <v>2187000</v>
      </c>
      <c r="G18" s="85">
        <v>544000</v>
      </c>
      <c r="H18" s="85">
        <f>284000+250000+50000</f>
        <v>584000</v>
      </c>
      <c r="I18" s="85">
        <v>1850000</v>
      </c>
      <c r="J18" s="85">
        <v>1106000</v>
      </c>
      <c r="K18" s="85">
        <f>53437+78063</f>
        <v>131500</v>
      </c>
      <c r="L18" s="85">
        <v>0</v>
      </c>
      <c r="M18" s="85">
        <f t="shared" si="0"/>
        <v>199080</v>
      </c>
      <c r="N18" s="91">
        <f t="shared" si="0"/>
        <v>23670</v>
      </c>
      <c r="O18" s="91">
        <f t="shared" si="0"/>
        <v>0</v>
      </c>
      <c r="P18" s="85">
        <v>9204</v>
      </c>
      <c r="Q18" s="85">
        <f t="shared" si="3"/>
        <v>3540000</v>
      </c>
      <c r="R18" s="85">
        <f t="shared" si="1"/>
        <v>220546</v>
      </c>
      <c r="S18" s="93">
        <f t="shared" si="2"/>
        <v>391954</v>
      </c>
    </row>
    <row r="19" customHeight="1" spans="1:19">
      <c r="A19" s="83">
        <v>15</v>
      </c>
      <c r="B19" s="83" t="s">
        <v>35</v>
      </c>
      <c r="C19" s="83">
        <v>37</v>
      </c>
      <c r="D19" s="84">
        <v>3700000</v>
      </c>
      <c r="E19" s="85">
        <f>25000+200000+555000</f>
        <v>780000</v>
      </c>
      <c r="F19" s="85">
        <f>200000+600000+600000</f>
        <v>1400000</v>
      </c>
      <c r="G19" s="85">
        <f>500000+200000</f>
        <v>700000</v>
      </c>
      <c r="H19" s="85">
        <v>400000</v>
      </c>
      <c r="I19" s="85">
        <v>1850000</v>
      </c>
      <c r="J19" s="85">
        <f>1106000-281000</f>
        <v>825000</v>
      </c>
      <c r="K19" s="85">
        <f>412500</f>
        <v>412500</v>
      </c>
      <c r="L19" s="85">
        <v>0</v>
      </c>
      <c r="M19" s="85">
        <f t="shared" si="0"/>
        <v>148500</v>
      </c>
      <c r="N19" s="91">
        <f t="shared" si="0"/>
        <v>74250</v>
      </c>
      <c r="O19" s="91">
        <f t="shared" si="0"/>
        <v>0</v>
      </c>
      <c r="P19" s="85">
        <v>0</v>
      </c>
      <c r="Q19" s="85">
        <f t="shared" si="3"/>
        <v>3280000</v>
      </c>
      <c r="R19" s="85">
        <f t="shared" si="1"/>
        <v>-30250</v>
      </c>
      <c r="S19" s="93">
        <f t="shared" si="2"/>
        <v>642750</v>
      </c>
    </row>
    <row r="20" customHeight="1" spans="1:19">
      <c r="A20" s="83">
        <v>16</v>
      </c>
      <c r="B20" s="83" t="s">
        <v>36</v>
      </c>
      <c r="C20" s="83">
        <v>38</v>
      </c>
      <c r="D20" s="84">
        <v>4000000</v>
      </c>
      <c r="E20" s="85">
        <v>0</v>
      </c>
      <c r="F20" s="85">
        <v>0</v>
      </c>
      <c r="G20" s="85">
        <v>225000</v>
      </c>
      <c r="H20" s="85">
        <f>1790000+892500</f>
        <v>2682500</v>
      </c>
      <c r="I20" s="85"/>
      <c r="J20" s="85"/>
      <c r="K20" s="85">
        <f>543750-93750</f>
        <v>450000</v>
      </c>
      <c r="L20" s="85">
        <f>450000+450000</f>
        <v>900000</v>
      </c>
      <c r="M20" s="85">
        <f t="shared" ref="M20:O51" si="4">J20*18%</f>
        <v>0</v>
      </c>
      <c r="N20" s="91">
        <f t="shared" si="4"/>
        <v>81000</v>
      </c>
      <c r="O20" s="91">
        <f t="shared" si="4"/>
        <v>162000</v>
      </c>
      <c r="P20" s="85">
        <v>0</v>
      </c>
      <c r="Q20" s="85">
        <f t="shared" si="3"/>
        <v>2907500</v>
      </c>
      <c r="R20" s="85">
        <f t="shared" si="1"/>
        <v>1314500</v>
      </c>
      <c r="S20" s="93">
        <f t="shared" si="2"/>
        <v>1335500</v>
      </c>
    </row>
    <row r="21" customHeight="1" spans="1:19">
      <c r="A21" s="83">
        <v>17</v>
      </c>
      <c r="B21" s="83" t="s">
        <v>37</v>
      </c>
      <c r="C21" s="83">
        <v>39</v>
      </c>
      <c r="D21" s="84">
        <v>3750000</v>
      </c>
      <c r="E21" s="85">
        <v>0</v>
      </c>
      <c r="F21" s="85">
        <v>0</v>
      </c>
      <c r="G21" s="85">
        <f>225000+940000</f>
        <v>1165000</v>
      </c>
      <c r="H21" s="85">
        <f>500000+500000+500000</f>
        <v>1500000</v>
      </c>
      <c r="I21" s="85"/>
      <c r="J21" s="85"/>
      <c r="K21" s="85">
        <f>418750</f>
        <v>418750</v>
      </c>
      <c r="L21" s="85">
        <f>418750+418750</f>
        <v>837500</v>
      </c>
      <c r="M21" s="85">
        <f t="shared" si="4"/>
        <v>0</v>
      </c>
      <c r="N21" s="91">
        <f t="shared" si="4"/>
        <v>75375</v>
      </c>
      <c r="O21" s="91">
        <f t="shared" si="4"/>
        <v>150750</v>
      </c>
      <c r="P21" s="85">
        <v>0</v>
      </c>
      <c r="Q21" s="85">
        <f t="shared" si="3"/>
        <v>2665000</v>
      </c>
      <c r="R21" s="85">
        <f t="shared" si="1"/>
        <v>1182625</v>
      </c>
      <c r="S21" s="93">
        <f t="shared" si="2"/>
        <v>1311125</v>
      </c>
    </row>
    <row r="22" customHeight="1" spans="1:19">
      <c r="A22" s="83">
        <v>18</v>
      </c>
      <c r="B22" s="83" t="s">
        <v>38</v>
      </c>
      <c r="C22" s="83">
        <v>40</v>
      </c>
      <c r="D22" s="84">
        <v>5944000</v>
      </c>
      <c r="E22" s="85">
        <v>0</v>
      </c>
      <c r="F22" s="85">
        <v>0</v>
      </c>
      <c r="G22" s="85">
        <v>625000</v>
      </c>
      <c r="H22" s="85">
        <f>1200000+400000+500000+500000+500000</f>
        <v>3100000</v>
      </c>
      <c r="I22" s="85">
        <v>0</v>
      </c>
      <c r="J22" s="85"/>
      <c r="K22" s="85"/>
      <c r="L22" s="85">
        <v>1386000</v>
      </c>
      <c r="M22" s="85">
        <f t="shared" si="4"/>
        <v>0</v>
      </c>
      <c r="N22" s="91">
        <f t="shared" si="4"/>
        <v>0</v>
      </c>
      <c r="O22" s="91">
        <f t="shared" si="4"/>
        <v>249480</v>
      </c>
      <c r="P22" s="85">
        <v>0</v>
      </c>
      <c r="Q22" s="85">
        <f t="shared" si="3"/>
        <v>3725000</v>
      </c>
      <c r="R22" s="85">
        <f t="shared" si="1"/>
        <v>2089520</v>
      </c>
      <c r="S22" s="93">
        <f t="shared" si="2"/>
        <v>2468480</v>
      </c>
    </row>
    <row r="23" customHeight="1" spans="1:19">
      <c r="A23" s="83">
        <v>19</v>
      </c>
      <c r="B23" s="83" t="s">
        <v>39</v>
      </c>
      <c r="C23" s="83">
        <v>41</v>
      </c>
      <c r="D23" s="84">
        <v>3994000</v>
      </c>
      <c r="E23" s="85">
        <v>0</v>
      </c>
      <c r="F23" s="85">
        <f>25000+200000+200000</f>
        <v>425000</v>
      </c>
      <c r="G23" s="85">
        <f>100000+300000+890000+891040</f>
        <v>2181040</v>
      </c>
      <c r="H23" s="85">
        <f>593980+300000</f>
        <v>893980</v>
      </c>
      <c r="I23" s="85">
        <v>225000</v>
      </c>
      <c r="J23" s="85"/>
      <c r="K23" s="85">
        <f>449250+449250+449250</f>
        <v>1347750</v>
      </c>
      <c r="L23" s="85">
        <v>0</v>
      </c>
      <c r="M23" s="85">
        <f t="shared" si="4"/>
        <v>0</v>
      </c>
      <c r="N23" s="91">
        <f t="shared" si="4"/>
        <v>242595</v>
      </c>
      <c r="O23" s="91">
        <f t="shared" si="4"/>
        <v>0</v>
      </c>
      <c r="P23" s="85">
        <v>9204</v>
      </c>
      <c r="Q23" s="85">
        <f t="shared" si="3"/>
        <v>3500020</v>
      </c>
      <c r="R23" s="85">
        <f t="shared" si="1"/>
        <v>1675471</v>
      </c>
      <c r="S23" s="93">
        <f t="shared" si="2"/>
        <v>745779</v>
      </c>
    </row>
    <row r="24" customHeight="1" spans="1:19">
      <c r="A24" s="83">
        <v>22</v>
      </c>
      <c r="B24" s="83" t="s">
        <v>25</v>
      </c>
      <c r="C24" s="83">
        <v>43</v>
      </c>
      <c r="D24" s="84">
        <v>4500000</v>
      </c>
      <c r="E24" s="85"/>
      <c r="F24" s="85"/>
      <c r="G24" s="85"/>
      <c r="H24" s="85">
        <v>4500000</v>
      </c>
      <c r="I24" s="85">
        <v>0</v>
      </c>
      <c r="J24" s="85"/>
      <c r="K24" s="85"/>
      <c r="L24" s="85">
        <v>1025000</v>
      </c>
      <c r="M24" s="85">
        <f t="shared" si="4"/>
        <v>0</v>
      </c>
      <c r="N24" s="91">
        <f t="shared" si="4"/>
        <v>0</v>
      </c>
      <c r="O24" s="91">
        <f t="shared" si="4"/>
        <v>184500</v>
      </c>
      <c r="P24" s="85">
        <v>0</v>
      </c>
      <c r="Q24" s="85">
        <f t="shared" si="3"/>
        <v>4500000</v>
      </c>
      <c r="R24" s="85">
        <f t="shared" si="1"/>
        <v>3290500</v>
      </c>
      <c r="S24" s="93">
        <f t="shared" si="2"/>
        <v>184500</v>
      </c>
    </row>
    <row r="25" customHeight="1" spans="1:19">
      <c r="A25" s="83">
        <v>23</v>
      </c>
      <c r="B25" s="83" t="s">
        <v>25</v>
      </c>
      <c r="C25" s="83">
        <v>45</v>
      </c>
      <c r="D25" s="84">
        <v>6000000</v>
      </c>
      <c r="E25" s="85"/>
      <c r="F25" s="85"/>
      <c r="G25" s="85"/>
      <c r="H25" s="85">
        <v>6000000</v>
      </c>
      <c r="I25" s="85">
        <v>0</v>
      </c>
      <c r="J25" s="85"/>
      <c r="K25" s="85"/>
      <c r="L25" s="85">
        <v>700000</v>
      </c>
      <c r="M25" s="85">
        <f t="shared" si="4"/>
        <v>0</v>
      </c>
      <c r="N25" s="91">
        <f t="shared" si="4"/>
        <v>0</v>
      </c>
      <c r="O25" s="91">
        <f t="shared" si="4"/>
        <v>126000</v>
      </c>
      <c r="P25" s="85">
        <v>0</v>
      </c>
      <c r="Q25" s="85">
        <f t="shared" si="3"/>
        <v>6000000</v>
      </c>
      <c r="R25" s="85">
        <f t="shared" si="1"/>
        <v>5174000</v>
      </c>
      <c r="S25" s="93">
        <f t="shared" si="2"/>
        <v>126000</v>
      </c>
    </row>
    <row r="26" customHeight="1" spans="1:19">
      <c r="A26" s="83">
        <v>24</v>
      </c>
      <c r="B26" s="83" t="s">
        <v>40</v>
      </c>
      <c r="C26" s="83">
        <v>46</v>
      </c>
      <c r="D26" s="84">
        <v>4800000</v>
      </c>
      <c r="E26" s="85"/>
      <c r="F26" s="85"/>
      <c r="G26" s="85"/>
      <c r="H26" s="85">
        <f>25000+200000+945000+500000+180000+200000</f>
        <v>2050000</v>
      </c>
      <c r="I26" s="85">
        <v>0</v>
      </c>
      <c r="J26" s="85">
        <v>0</v>
      </c>
      <c r="K26" s="85">
        <v>0</v>
      </c>
      <c r="L26" s="85">
        <f>1475000-375000</f>
        <v>1100000</v>
      </c>
      <c r="M26" s="85">
        <f t="shared" si="4"/>
        <v>0</v>
      </c>
      <c r="N26" s="91">
        <f t="shared" si="4"/>
        <v>0</v>
      </c>
      <c r="O26" s="91">
        <f t="shared" si="4"/>
        <v>198000</v>
      </c>
      <c r="P26" s="85">
        <v>0</v>
      </c>
      <c r="Q26" s="85">
        <f t="shared" si="3"/>
        <v>2050000</v>
      </c>
      <c r="R26" s="85">
        <f t="shared" si="1"/>
        <v>752000</v>
      </c>
      <c r="S26" s="93">
        <f t="shared" si="2"/>
        <v>2948000</v>
      </c>
    </row>
    <row r="27" customHeight="1" spans="1:19">
      <c r="A27" s="83">
        <v>25</v>
      </c>
      <c r="B27" s="83" t="s">
        <v>41</v>
      </c>
      <c r="C27" s="83">
        <v>48</v>
      </c>
      <c r="D27" s="84">
        <v>3600000</v>
      </c>
      <c r="E27" s="85">
        <f>25000+200000+200000+175000</f>
        <v>600000</v>
      </c>
      <c r="F27" s="85">
        <v>1746000</v>
      </c>
      <c r="G27" s="85">
        <v>527000</v>
      </c>
      <c r="H27" s="85">
        <f>727000+200000</f>
        <v>927000</v>
      </c>
      <c r="I27" s="85">
        <v>1555500</v>
      </c>
      <c r="J27" s="85"/>
      <c r="K27" s="85">
        <f>1073000+127000</f>
        <v>1200000</v>
      </c>
      <c r="L27" s="85">
        <v>0</v>
      </c>
      <c r="M27" s="85">
        <f t="shared" si="4"/>
        <v>0</v>
      </c>
      <c r="N27" s="91">
        <f t="shared" si="4"/>
        <v>216000</v>
      </c>
      <c r="O27" s="91">
        <f t="shared" si="4"/>
        <v>0</v>
      </c>
      <c r="P27" s="85">
        <v>135228</v>
      </c>
      <c r="Q27" s="85">
        <f t="shared" si="3"/>
        <v>3800000</v>
      </c>
      <c r="R27" s="85">
        <f t="shared" si="1"/>
        <v>693272</v>
      </c>
      <c r="S27" s="93">
        <f t="shared" si="2"/>
        <v>151228</v>
      </c>
    </row>
    <row r="28" customHeight="1" spans="1:19">
      <c r="A28" s="83">
        <v>27</v>
      </c>
      <c r="B28" s="83" t="s">
        <v>25</v>
      </c>
      <c r="C28" s="83">
        <v>49</v>
      </c>
      <c r="D28" s="84">
        <v>4500000</v>
      </c>
      <c r="E28" s="85"/>
      <c r="F28" s="85"/>
      <c r="G28" s="85"/>
      <c r="H28" s="85">
        <v>4500000</v>
      </c>
      <c r="I28" s="85">
        <v>0</v>
      </c>
      <c r="J28" s="85"/>
      <c r="K28" s="85"/>
      <c r="L28" s="85">
        <v>1025000</v>
      </c>
      <c r="M28" s="85">
        <f t="shared" si="4"/>
        <v>0</v>
      </c>
      <c r="N28" s="91">
        <f t="shared" si="4"/>
        <v>0</v>
      </c>
      <c r="O28" s="91">
        <f t="shared" si="4"/>
        <v>184500</v>
      </c>
      <c r="P28" s="85">
        <v>0</v>
      </c>
      <c r="Q28" s="85">
        <f t="shared" si="3"/>
        <v>4500000</v>
      </c>
      <c r="R28" s="85">
        <f t="shared" si="1"/>
        <v>3290500</v>
      </c>
      <c r="S28" s="93">
        <f t="shared" si="2"/>
        <v>184500</v>
      </c>
    </row>
    <row r="29" customHeight="1" spans="1:19">
      <c r="A29" s="83">
        <v>28</v>
      </c>
      <c r="B29" s="83" t="s">
        <v>25</v>
      </c>
      <c r="C29" s="83">
        <v>51</v>
      </c>
      <c r="D29" s="84">
        <v>6000000</v>
      </c>
      <c r="E29" s="85"/>
      <c r="F29" s="85"/>
      <c r="G29" s="85"/>
      <c r="H29" s="85">
        <v>6000000</v>
      </c>
      <c r="I29" s="85">
        <v>0</v>
      </c>
      <c r="J29" s="85"/>
      <c r="K29" s="85"/>
      <c r="L29" s="85">
        <v>700000</v>
      </c>
      <c r="M29" s="85">
        <f t="shared" si="4"/>
        <v>0</v>
      </c>
      <c r="N29" s="91">
        <f t="shared" si="4"/>
        <v>0</v>
      </c>
      <c r="O29" s="91">
        <f t="shared" si="4"/>
        <v>126000</v>
      </c>
      <c r="P29" s="85">
        <v>0</v>
      </c>
      <c r="Q29" s="85">
        <f t="shared" si="3"/>
        <v>6000000</v>
      </c>
      <c r="R29" s="85">
        <f t="shared" si="1"/>
        <v>5174000</v>
      </c>
      <c r="S29" s="93">
        <f t="shared" si="2"/>
        <v>126000</v>
      </c>
    </row>
    <row r="30" customHeight="1" spans="1:19">
      <c r="A30" s="83">
        <v>29</v>
      </c>
      <c r="B30" s="83" t="s">
        <v>25</v>
      </c>
      <c r="C30" s="83">
        <v>52</v>
      </c>
      <c r="D30" s="84">
        <v>6000000</v>
      </c>
      <c r="E30" s="85"/>
      <c r="F30" s="85"/>
      <c r="G30" s="85"/>
      <c r="H30" s="85">
        <v>6000000</v>
      </c>
      <c r="I30" s="85">
        <v>0</v>
      </c>
      <c r="J30" s="85"/>
      <c r="K30" s="85"/>
      <c r="L30" s="85">
        <v>700000</v>
      </c>
      <c r="M30" s="85">
        <f t="shared" si="4"/>
        <v>0</v>
      </c>
      <c r="N30" s="91">
        <f t="shared" si="4"/>
        <v>0</v>
      </c>
      <c r="O30" s="91">
        <f t="shared" si="4"/>
        <v>126000</v>
      </c>
      <c r="P30" s="85">
        <v>0</v>
      </c>
      <c r="Q30" s="85">
        <f t="shared" si="3"/>
        <v>6000000</v>
      </c>
      <c r="R30" s="85">
        <f t="shared" si="1"/>
        <v>5174000</v>
      </c>
      <c r="S30" s="93">
        <f t="shared" si="2"/>
        <v>126000</v>
      </c>
    </row>
    <row r="31" customHeight="1" spans="1:19">
      <c r="A31" s="83">
        <v>31</v>
      </c>
      <c r="B31" s="83" t="s">
        <v>43</v>
      </c>
      <c r="C31" s="83">
        <v>54</v>
      </c>
      <c r="D31" s="84">
        <v>4500000</v>
      </c>
      <c r="E31" s="85"/>
      <c r="F31" s="85"/>
      <c r="G31" s="85"/>
      <c r="H31" s="85">
        <v>4500000</v>
      </c>
      <c r="I31" s="85">
        <v>0</v>
      </c>
      <c r="J31" s="85"/>
      <c r="K31" s="85"/>
      <c r="L31" s="85">
        <v>1025000</v>
      </c>
      <c r="M31" s="85">
        <f t="shared" si="4"/>
        <v>0</v>
      </c>
      <c r="N31" s="91">
        <f t="shared" si="4"/>
        <v>0</v>
      </c>
      <c r="O31" s="91">
        <f t="shared" si="4"/>
        <v>184500</v>
      </c>
      <c r="P31" s="85">
        <v>0</v>
      </c>
      <c r="Q31" s="85">
        <f t="shared" si="3"/>
        <v>4500000</v>
      </c>
      <c r="R31" s="85">
        <f t="shared" si="1"/>
        <v>3290500</v>
      </c>
      <c r="S31" s="93">
        <f t="shared" ref="S31:S51" si="5">D31+M31+N31+P31+O31-Q31</f>
        <v>184500</v>
      </c>
    </row>
    <row r="32" customHeight="1" spans="1:19">
      <c r="A32" s="83">
        <v>32</v>
      </c>
      <c r="B32" s="83" t="s">
        <v>44</v>
      </c>
      <c r="C32" s="83">
        <v>55</v>
      </c>
      <c r="D32" s="84">
        <v>5800000</v>
      </c>
      <c r="E32" s="85">
        <v>0</v>
      </c>
      <c r="F32" s="85">
        <v>0</v>
      </c>
      <c r="G32" s="85">
        <f>225000+870000</f>
        <v>1095000</v>
      </c>
      <c r="H32" s="85">
        <f>1351000+1351000</f>
        <v>2702000</v>
      </c>
      <c r="I32" s="85"/>
      <c r="J32" s="85"/>
      <c r="K32" s="85"/>
      <c r="L32" s="85">
        <f>675000+675000</f>
        <v>1350000</v>
      </c>
      <c r="M32" s="85">
        <f t="shared" si="4"/>
        <v>0</v>
      </c>
      <c r="N32" s="91">
        <f t="shared" si="4"/>
        <v>0</v>
      </c>
      <c r="O32" s="91">
        <f t="shared" si="4"/>
        <v>243000</v>
      </c>
      <c r="P32" s="85">
        <v>0</v>
      </c>
      <c r="Q32" s="85">
        <f t="shared" si="3"/>
        <v>3797000</v>
      </c>
      <c r="R32" s="85">
        <f t="shared" si="1"/>
        <v>2204000</v>
      </c>
      <c r="S32" s="93">
        <f t="shared" si="5"/>
        <v>2246000</v>
      </c>
    </row>
    <row r="33" customHeight="1" spans="1:19">
      <c r="A33" s="83">
        <v>33</v>
      </c>
      <c r="B33" s="83" t="s">
        <v>45</v>
      </c>
      <c r="C33" s="83">
        <v>56</v>
      </c>
      <c r="D33" s="84">
        <v>4200000</v>
      </c>
      <c r="E33" s="85"/>
      <c r="F33" s="85">
        <v>0</v>
      </c>
      <c r="G33" s="85">
        <v>225000</v>
      </c>
      <c r="H33" s="85">
        <f>600000+75000+1980000+156228</f>
        <v>2811228</v>
      </c>
      <c r="I33" s="85"/>
      <c r="J33" s="85"/>
      <c r="K33" s="85"/>
      <c r="L33" s="85">
        <v>950000</v>
      </c>
      <c r="M33" s="85">
        <f t="shared" si="4"/>
        <v>0</v>
      </c>
      <c r="N33" s="91">
        <f t="shared" si="4"/>
        <v>0</v>
      </c>
      <c r="O33" s="91">
        <f t="shared" si="4"/>
        <v>171000</v>
      </c>
      <c r="P33" s="85">
        <f>147024+9204</f>
        <v>156228</v>
      </c>
      <c r="Q33" s="85">
        <f t="shared" si="3"/>
        <v>3036228</v>
      </c>
      <c r="R33" s="85">
        <f t="shared" si="1"/>
        <v>1759000</v>
      </c>
      <c r="S33" s="93">
        <f t="shared" si="5"/>
        <v>1491000</v>
      </c>
    </row>
    <row r="34" customHeight="1" spans="1:19">
      <c r="A34" s="83">
        <v>34</v>
      </c>
      <c r="B34" s="83" t="s">
        <v>46</v>
      </c>
      <c r="C34" s="83">
        <v>57</v>
      </c>
      <c r="D34" s="84">
        <v>3700000</v>
      </c>
      <c r="E34" s="85">
        <f>25000+200000+300000</f>
        <v>525000</v>
      </c>
      <c r="F34" s="85">
        <f>200000+1687000</f>
        <v>1887000</v>
      </c>
      <c r="G34" s="85"/>
      <c r="H34" s="85">
        <f>544000+270000</f>
        <v>814000</v>
      </c>
      <c r="I34" s="85">
        <v>1596000</v>
      </c>
      <c r="J34" s="85"/>
      <c r="K34" s="85">
        <f>825000+412500</f>
        <v>1237500</v>
      </c>
      <c r="L34" s="85">
        <v>0</v>
      </c>
      <c r="M34" s="85">
        <f t="shared" si="4"/>
        <v>0</v>
      </c>
      <c r="N34" s="91">
        <f t="shared" si="4"/>
        <v>222750</v>
      </c>
      <c r="O34" s="91">
        <f t="shared" si="4"/>
        <v>0</v>
      </c>
      <c r="P34" s="85">
        <v>29500</v>
      </c>
      <c r="Q34" s="85">
        <f t="shared" si="3"/>
        <v>3226000</v>
      </c>
      <c r="R34" s="85">
        <f t="shared" si="1"/>
        <v>140250</v>
      </c>
      <c r="S34" s="93">
        <f t="shared" si="5"/>
        <v>726250</v>
      </c>
    </row>
    <row r="35" customHeight="1" spans="1:19">
      <c r="A35" s="83">
        <v>35</v>
      </c>
      <c r="B35" s="83" t="s">
        <v>47</v>
      </c>
      <c r="C35" s="83">
        <v>59</v>
      </c>
      <c r="D35" s="84">
        <v>5500000</v>
      </c>
      <c r="E35" s="85">
        <v>0</v>
      </c>
      <c r="F35" s="85">
        <v>0</v>
      </c>
      <c r="G35" s="85">
        <f>25000+500000+250000+230000+45000</f>
        <v>1050000</v>
      </c>
      <c r="H35" s="85">
        <f>400000+625000+1925000</f>
        <v>2950000</v>
      </c>
      <c r="I35" s="85">
        <v>0</v>
      </c>
      <c r="J35" s="85"/>
      <c r="K35" s="85">
        <v>0</v>
      </c>
      <c r="L35" s="85">
        <f>637500+637500</f>
        <v>1275000</v>
      </c>
      <c r="M35" s="85">
        <f t="shared" si="4"/>
        <v>0</v>
      </c>
      <c r="N35" s="91">
        <f t="shared" si="4"/>
        <v>0</v>
      </c>
      <c r="O35" s="91">
        <f t="shared" si="4"/>
        <v>229500</v>
      </c>
      <c r="P35" s="85">
        <v>9204</v>
      </c>
      <c r="Q35" s="85">
        <f t="shared" si="3"/>
        <v>4000000</v>
      </c>
      <c r="R35" s="85">
        <f t="shared" si="1"/>
        <v>2486296</v>
      </c>
      <c r="S35" s="93">
        <f t="shared" si="5"/>
        <v>1738704</v>
      </c>
    </row>
    <row r="36" customHeight="1" spans="1:19">
      <c r="A36" s="83">
        <v>36</v>
      </c>
      <c r="B36" s="83" t="s">
        <v>48</v>
      </c>
      <c r="C36" s="83">
        <v>60</v>
      </c>
      <c r="D36" s="84">
        <v>3300000</v>
      </c>
      <c r="E36" s="85">
        <v>0</v>
      </c>
      <c r="F36" s="85">
        <v>0</v>
      </c>
      <c r="G36" s="85">
        <f>225000</f>
        <v>225000</v>
      </c>
      <c r="H36" s="85">
        <f>645000+938000</f>
        <v>1583000</v>
      </c>
      <c r="I36" s="85"/>
      <c r="J36" s="85"/>
      <c r="K36" s="85"/>
      <c r="L36" s="85">
        <f>975000-250000</f>
        <v>725000</v>
      </c>
      <c r="M36" s="85">
        <f t="shared" si="4"/>
        <v>0</v>
      </c>
      <c r="N36" s="91">
        <f t="shared" si="4"/>
        <v>0</v>
      </c>
      <c r="O36" s="91">
        <f t="shared" si="4"/>
        <v>130500</v>
      </c>
      <c r="P36" s="85">
        <v>9204</v>
      </c>
      <c r="Q36" s="85">
        <f t="shared" si="3"/>
        <v>1808000</v>
      </c>
      <c r="R36" s="85">
        <f t="shared" si="1"/>
        <v>943296</v>
      </c>
      <c r="S36" s="93">
        <f t="shared" si="5"/>
        <v>1631704</v>
      </c>
    </row>
    <row r="37" customHeight="1" spans="1:19">
      <c r="A37" s="83">
        <v>37</v>
      </c>
      <c r="B37" s="83" t="s">
        <v>49</v>
      </c>
      <c r="C37" s="83">
        <v>61</v>
      </c>
      <c r="D37" s="84">
        <v>3700000</v>
      </c>
      <c r="E37" s="85">
        <v>0</v>
      </c>
      <c r="F37" s="85">
        <f>25000+200000+200000+70000+130000+150000+200000+200000</f>
        <v>1175000</v>
      </c>
      <c r="G37" s="85">
        <v>1781000</v>
      </c>
      <c r="H37" s="85">
        <v>544000</v>
      </c>
      <c r="I37" s="85">
        <v>2203000</v>
      </c>
      <c r="J37" s="85"/>
      <c r="K37" s="85">
        <f>1200000+600000-562500</f>
        <v>1237500</v>
      </c>
      <c r="L37" s="85">
        <v>0</v>
      </c>
      <c r="M37" s="85">
        <f t="shared" si="4"/>
        <v>0</v>
      </c>
      <c r="N37" s="91">
        <f t="shared" si="4"/>
        <v>222750</v>
      </c>
      <c r="O37" s="91">
        <f t="shared" si="4"/>
        <v>0</v>
      </c>
      <c r="P37" s="85">
        <v>3068</v>
      </c>
      <c r="Q37" s="85">
        <f t="shared" si="3"/>
        <v>3500000</v>
      </c>
      <c r="R37" s="85">
        <f t="shared" si="1"/>
        <v>-166318</v>
      </c>
      <c r="S37" s="93">
        <f t="shared" si="5"/>
        <v>425818</v>
      </c>
    </row>
    <row r="38" customHeight="1" spans="1:19">
      <c r="A38" s="83">
        <v>38</v>
      </c>
      <c r="B38" s="83" t="s">
        <v>50</v>
      </c>
      <c r="C38" s="83">
        <v>63</v>
      </c>
      <c r="D38" s="84">
        <v>3916000</v>
      </c>
      <c r="E38" s="85">
        <f>25000+200000</f>
        <v>225000</v>
      </c>
      <c r="F38" s="85">
        <f>300000+287400+1742160</f>
        <v>2329560</v>
      </c>
      <c r="G38" s="85">
        <v>0</v>
      </c>
      <c r="H38" s="85">
        <f>230000+257840+330720</f>
        <v>818560</v>
      </c>
      <c r="I38" s="85">
        <v>1683480</v>
      </c>
      <c r="J38" s="85"/>
      <c r="K38" s="85">
        <f>596560+282440+439500</f>
        <v>1318500</v>
      </c>
      <c r="L38" s="85">
        <v>0</v>
      </c>
      <c r="M38" s="85">
        <f t="shared" si="4"/>
        <v>0</v>
      </c>
      <c r="N38" s="91">
        <f t="shared" si="4"/>
        <v>237330</v>
      </c>
      <c r="O38" s="91">
        <f t="shared" si="4"/>
        <v>0</v>
      </c>
      <c r="P38" s="85">
        <v>9204</v>
      </c>
      <c r="Q38" s="85">
        <f t="shared" si="3"/>
        <v>3373120</v>
      </c>
      <c r="R38" s="85">
        <f t="shared" si="1"/>
        <v>124606</v>
      </c>
      <c r="S38" s="93">
        <f t="shared" si="5"/>
        <v>789414</v>
      </c>
    </row>
    <row r="39" customHeight="1" spans="1:19">
      <c r="A39" s="83">
        <v>39</v>
      </c>
      <c r="B39" s="83" t="s">
        <v>51</v>
      </c>
      <c r="C39" s="83">
        <v>64</v>
      </c>
      <c r="D39" s="84">
        <v>3916000</v>
      </c>
      <c r="E39" s="85">
        <f>25000+200000</f>
        <v>225000</v>
      </c>
      <c r="F39" s="85">
        <f>87400+500000+480000+391080+871080</f>
        <v>2329560</v>
      </c>
      <c r="G39" s="85">
        <v>580720</v>
      </c>
      <c r="H39" s="85">
        <v>726984</v>
      </c>
      <c r="I39" s="85">
        <v>1958000</v>
      </c>
      <c r="J39" s="85">
        <f>1177280-298280</f>
        <v>879000</v>
      </c>
      <c r="K39" s="85">
        <v>439500</v>
      </c>
      <c r="L39" s="85">
        <v>0</v>
      </c>
      <c r="M39" s="85">
        <f t="shared" si="4"/>
        <v>158220</v>
      </c>
      <c r="N39" s="91">
        <f t="shared" si="4"/>
        <v>79110</v>
      </c>
      <c r="O39" s="91">
        <f t="shared" si="4"/>
        <v>0</v>
      </c>
      <c r="P39" s="85">
        <f>137084+9204</f>
        <v>146288</v>
      </c>
      <c r="Q39" s="85">
        <f t="shared" si="3"/>
        <v>3862264</v>
      </c>
      <c r="R39" s="85">
        <f t="shared" si="1"/>
        <v>202146</v>
      </c>
      <c r="S39" s="93">
        <f t="shared" si="5"/>
        <v>437354</v>
      </c>
    </row>
    <row r="40" customHeight="1" spans="1:19">
      <c r="A40" s="83">
        <v>40</v>
      </c>
      <c r="B40" s="83" t="s">
        <v>52</v>
      </c>
      <c r="C40" s="83">
        <v>65</v>
      </c>
      <c r="D40" s="84">
        <v>5416000</v>
      </c>
      <c r="E40" s="85">
        <v>0</v>
      </c>
      <c r="F40" s="85">
        <v>0</v>
      </c>
      <c r="G40" s="85">
        <f>225000+2066000+1253580</f>
        <v>3544580</v>
      </c>
      <c r="H40" s="85">
        <f>400000+435720</f>
        <v>835720</v>
      </c>
      <c r="I40" s="85">
        <v>0</v>
      </c>
      <c r="J40" s="85"/>
      <c r="K40" s="85">
        <v>1254000</v>
      </c>
      <c r="L40" s="85">
        <v>627000</v>
      </c>
      <c r="M40" s="85">
        <f t="shared" si="4"/>
        <v>0</v>
      </c>
      <c r="N40" s="91">
        <f t="shared" si="4"/>
        <v>225720</v>
      </c>
      <c r="O40" s="91">
        <f t="shared" si="4"/>
        <v>112860</v>
      </c>
      <c r="P40" s="85">
        <v>9204</v>
      </c>
      <c r="Q40" s="85">
        <f t="shared" si="3"/>
        <v>4380300</v>
      </c>
      <c r="R40" s="85">
        <f t="shared" si="1"/>
        <v>2151516</v>
      </c>
      <c r="S40" s="93">
        <f t="shared" si="5"/>
        <v>1383484</v>
      </c>
    </row>
    <row r="41" customHeight="1" spans="1:19">
      <c r="A41" s="83">
        <v>41</v>
      </c>
      <c r="B41" s="83" t="s">
        <v>53</v>
      </c>
      <c r="C41" s="83">
        <v>66</v>
      </c>
      <c r="D41" s="84">
        <v>5560000</v>
      </c>
      <c r="E41" s="85">
        <v>0</v>
      </c>
      <c r="F41" s="85">
        <f>25000+200000+610500+800000</f>
        <v>1635500</v>
      </c>
      <c r="G41" s="85">
        <v>0</v>
      </c>
      <c r="H41" s="85">
        <f>2000000+700000</f>
        <v>2700000</v>
      </c>
      <c r="I41" s="85">
        <v>835500</v>
      </c>
      <c r="J41" s="85"/>
      <c r="K41" s="85">
        <f>458750+458750</f>
        <v>917500</v>
      </c>
      <c r="L41" s="85">
        <f>458750+558750</f>
        <v>1017500</v>
      </c>
      <c r="M41" s="85">
        <f t="shared" si="4"/>
        <v>0</v>
      </c>
      <c r="N41" s="91">
        <f t="shared" si="4"/>
        <v>165150</v>
      </c>
      <c r="O41" s="91">
        <f t="shared" si="4"/>
        <v>183150</v>
      </c>
      <c r="P41" s="85">
        <v>0</v>
      </c>
      <c r="Q41" s="85">
        <f t="shared" si="3"/>
        <v>4335500</v>
      </c>
      <c r="R41" s="85">
        <f t="shared" si="1"/>
        <v>1216700</v>
      </c>
      <c r="S41" s="93">
        <f t="shared" si="5"/>
        <v>1572800</v>
      </c>
    </row>
    <row r="42" customHeight="1" spans="1:19">
      <c r="A42" s="83">
        <v>42</v>
      </c>
      <c r="B42" s="83" t="s">
        <v>54</v>
      </c>
      <c r="C42" s="83">
        <v>69</v>
      </c>
      <c r="D42" s="84">
        <v>4000000</v>
      </c>
      <c r="E42" s="85">
        <v>0</v>
      </c>
      <c r="F42" s="85">
        <v>0</v>
      </c>
      <c r="G42" s="85">
        <v>0</v>
      </c>
      <c r="H42" s="85">
        <v>2014000</v>
      </c>
      <c r="I42" s="85"/>
      <c r="J42" s="85"/>
      <c r="K42" s="85"/>
      <c r="L42" s="85">
        <v>900000</v>
      </c>
      <c r="M42" s="85">
        <f t="shared" si="4"/>
        <v>0</v>
      </c>
      <c r="N42" s="91">
        <f t="shared" si="4"/>
        <v>0</v>
      </c>
      <c r="O42" s="91">
        <f t="shared" si="4"/>
        <v>162000</v>
      </c>
      <c r="P42" s="85">
        <v>0</v>
      </c>
      <c r="Q42" s="85">
        <f t="shared" si="3"/>
        <v>2014000</v>
      </c>
      <c r="R42" s="85">
        <f t="shared" si="1"/>
        <v>952000</v>
      </c>
      <c r="S42" s="93">
        <f t="shared" si="5"/>
        <v>2148000</v>
      </c>
    </row>
    <row r="43" customHeight="1" spans="1:19">
      <c r="A43" s="83">
        <v>43</v>
      </c>
      <c r="B43" s="83" t="s">
        <v>55</v>
      </c>
      <c r="C43" s="83">
        <v>70</v>
      </c>
      <c r="D43" s="84">
        <v>3600000</v>
      </c>
      <c r="E43" s="85"/>
      <c r="F43" s="85">
        <v>0</v>
      </c>
      <c r="G43" s="85">
        <f>225000+21500</f>
        <v>246500</v>
      </c>
      <c r="H43" s="85">
        <v>500000</v>
      </c>
      <c r="I43" s="85"/>
      <c r="J43" s="85"/>
      <c r="K43" s="85"/>
      <c r="L43" s="85">
        <f>1350000-550000</f>
        <v>800000</v>
      </c>
      <c r="M43" s="85">
        <f t="shared" si="4"/>
        <v>0</v>
      </c>
      <c r="N43" s="91">
        <f t="shared" si="4"/>
        <v>0</v>
      </c>
      <c r="O43" s="91">
        <f t="shared" si="4"/>
        <v>144000</v>
      </c>
      <c r="P43" s="85">
        <v>0</v>
      </c>
      <c r="Q43" s="85">
        <f t="shared" si="3"/>
        <v>746500</v>
      </c>
      <c r="R43" s="85">
        <f t="shared" si="1"/>
        <v>-197500</v>
      </c>
      <c r="S43" s="93">
        <f t="shared" si="5"/>
        <v>2997500</v>
      </c>
    </row>
    <row r="44" customHeight="1" spans="1:19">
      <c r="A44" s="83">
        <v>44</v>
      </c>
      <c r="B44" s="83" t="s">
        <v>56</v>
      </c>
      <c r="C44" s="83">
        <v>74</v>
      </c>
      <c r="D44" s="84">
        <v>3700000</v>
      </c>
      <c r="E44" s="85">
        <v>0</v>
      </c>
      <c r="F44" s="85">
        <f>200000+25000+250000+300000+300000+250000</f>
        <v>1325000</v>
      </c>
      <c r="G44" s="85">
        <f>250000+800000+581000</f>
        <v>1631000</v>
      </c>
      <c r="H44" s="85">
        <f>500000+244000</f>
        <v>744000</v>
      </c>
      <c r="I44" s="85">
        <v>1596000</v>
      </c>
      <c r="J44" s="85"/>
      <c r="K44" s="85">
        <f>825000+412500</f>
        <v>1237500</v>
      </c>
      <c r="L44" s="85">
        <v>0</v>
      </c>
      <c r="M44" s="85">
        <f t="shared" si="4"/>
        <v>0</v>
      </c>
      <c r="N44" s="91">
        <f t="shared" si="4"/>
        <v>222750</v>
      </c>
      <c r="O44" s="91">
        <f t="shared" si="4"/>
        <v>0</v>
      </c>
      <c r="P44" s="85">
        <v>9204</v>
      </c>
      <c r="Q44" s="85">
        <f t="shared" si="3"/>
        <v>3700000</v>
      </c>
      <c r="R44" s="85">
        <f t="shared" si="1"/>
        <v>634546</v>
      </c>
      <c r="S44" s="93">
        <f t="shared" si="5"/>
        <v>231954</v>
      </c>
    </row>
    <row r="45" customHeight="1" spans="1:19">
      <c r="A45" s="83">
        <v>45</v>
      </c>
      <c r="B45" s="83" t="s">
        <v>57</v>
      </c>
      <c r="C45" s="83">
        <v>75</v>
      </c>
      <c r="D45" s="84">
        <v>3272500</v>
      </c>
      <c r="E45" s="85">
        <v>0</v>
      </c>
      <c r="F45" s="85">
        <v>225000</v>
      </c>
      <c r="G45" s="85">
        <f>490875+706988</f>
        <v>1197863</v>
      </c>
      <c r="H45" s="85">
        <v>200000</v>
      </c>
      <c r="I45" s="85">
        <v>225000</v>
      </c>
      <c r="J45" s="85"/>
      <c r="K45" s="85">
        <f>718126+359063</f>
        <v>1077189</v>
      </c>
      <c r="L45" s="85">
        <v>0</v>
      </c>
      <c r="M45" s="85">
        <f t="shared" si="4"/>
        <v>0</v>
      </c>
      <c r="N45" s="91">
        <f t="shared" si="4"/>
        <v>193894.02</v>
      </c>
      <c r="O45" s="91">
        <f t="shared" si="4"/>
        <v>0</v>
      </c>
      <c r="P45" s="85">
        <v>0</v>
      </c>
      <c r="Q45" s="85">
        <f t="shared" si="3"/>
        <v>1622863</v>
      </c>
      <c r="R45" s="85">
        <f t="shared" si="1"/>
        <v>126779.98</v>
      </c>
      <c r="S45" s="93">
        <f t="shared" si="5"/>
        <v>1843531.02</v>
      </c>
    </row>
    <row r="46" customHeight="1" spans="1:19">
      <c r="A46" s="83">
        <v>46</v>
      </c>
      <c r="B46" s="83" t="s">
        <v>58</v>
      </c>
      <c r="C46" s="83">
        <v>76</v>
      </c>
      <c r="D46" s="84">
        <v>3140000</v>
      </c>
      <c r="E46" s="85">
        <f>25000+200000</f>
        <v>225000</v>
      </c>
      <c r="F46" s="85">
        <f>250000+200000+200000</f>
        <v>650000</v>
      </c>
      <c r="G46" s="85">
        <f>500000+477000</f>
        <v>977000</v>
      </c>
      <c r="H46" s="85">
        <v>544000</v>
      </c>
      <c r="I46" s="85">
        <v>1850000</v>
      </c>
      <c r="J46" s="85">
        <v>2000</v>
      </c>
      <c r="K46" s="85">
        <f>816000+7000+202500</f>
        <v>1025500</v>
      </c>
      <c r="L46" s="85">
        <v>0</v>
      </c>
      <c r="M46" s="85">
        <f t="shared" si="4"/>
        <v>360</v>
      </c>
      <c r="N46" s="91">
        <f t="shared" si="4"/>
        <v>184590</v>
      </c>
      <c r="O46" s="91">
        <f t="shared" si="4"/>
        <v>0</v>
      </c>
      <c r="P46" s="85">
        <v>0</v>
      </c>
      <c r="Q46" s="85">
        <f t="shared" si="3"/>
        <v>2396000</v>
      </c>
      <c r="R46" s="85">
        <f t="shared" si="1"/>
        <v>-666450</v>
      </c>
      <c r="S46" s="93">
        <f t="shared" si="5"/>
        <v>928950</v>
      </c>
    </row>
    <row r="47" customHeight="1" spans="1:19">
      <c r="A47" s="83">
        <v>47</v>
      </c>
      <c r="B47" s="83" t="s">
        <v>59</v>
      </c>
      <c r="C47" s="83">
        <v>81</v>
      </c>
      <c r="D47" s="84">
        <v>5944000</v>
      </c>
      <c r="E47" s="85">
        <v>0</v>
      </c>
      <c r="F47" s="85">
        <v>0</v>
      </c>
      <c r="G47" s="85">
        <f>225000+891600</f>
        <v>1116600</v>
      </c>
      <c r="H47" s="85">
        <f>2776500+275000+269164</f>
        <v>3320664</v>
      </c>
      <c r="I47" s="85"/>
      <c r="J47" s="85"/>
      <c r="K47" s="85">
        <v>0</v>
      </c>
      <c r="L47" s="85">
        <f>693000+693000</f>
        <v>1386000</v>
      </c>
      <c r="M47" s="85">
        <f t="shared" si="4"/>
        <v>0</v>
      </c>
      <c r="N47" s="91">
        <f t="shared" si="4"/>
        <v>0</v>
      </c>
      <c r="O47" s="91">
        <f t="shared" si="4"/>
        <v>249480</v>
      </c>
      <c r="P47" s="85">
        <v>9204</v>
      </c>
      <c r="Q47" s="85">
        <f t="shared" si="3"/>
        <v>4437264</v>
      </c>
      <c r="R47" s="85">
        <f t="shared" si="1"/>
        <v>2792580</v>
      </c>
      <c r="S47" s="93">
        <f t="shared" si="5"/>
        <v>1765420</v>
      </c>
    </row>
    <row r="48" customHeight="1" spans="1:19">
      <c r="A48" s="83">
        <v>48</v>
      </c>
      <c r="B48" s="83" t="s">
        <v>60</v>
      </c>
      <c r="C48" s="83">
        <v>82</v>
      </c>
      <c r="D48" s="84">
        <v>5800000</v>
      </c>
      <c r="E48" s="85">
        <v>0</v>
      </c>
      <c r="F48" s="85">
        <v>0</v>
      </c>
      <c r="G48" s="85">
        <f>225000+870000</f>
        <v>1095000</v>
      </c>
      <c r="H48" s="85">
        <f>1351500+1351000+281204+250000</f>
        <v>3233704</v>
      </c>
      <c r="I48" s="85"/>
      <c r="J48" s="85"/>
      <c r="K48" s="85">
        <v>0</v>
      </c>
      <c r="L48" s="85">
        <f>675000+675000</f>
        <v>1350000</v>
      </c>
      <c r="M48" s="85">
        <f t="shared" si="4"/>
        <v>0</v>
      </c>
      <c r="N48" s="91">
        <f t="shared" si="4"/>
        <v>0</v>
      </c>
      <c r="O48" s="91">
        <f t="shared" si="4"/>
        <v>243000</v>
      </c>
      <c r="P48" s="85">
        <v>9204</v>
      </c>
      <c r="Q48" s="85">
        <f t="shared" si="3"/>
        <v>4328704</v>
      </c>
      <c r="R48" s="85">
        <f t="shared" si="1"/>
        <v>2726500</v>
      </c>
      <c r="S48" s="93">
        <f t="shared" si="5"/>
        <v>1723500</v>
      </c>
    </row>
    <row r="49" customHeight="1" spans="1:19">
      <c r="A49" s="83">
        <v>49</v>
      </c>
      <c r="B49" s="83" t="s">
        <v>61</v>
      </c>
      <c r="C49" s="83">
        <v>84</v>
      </c>
      <c r="D49" s="84">
        <v>4600000</v>
      </c>
      <c r="E49" s="85"/>
      <c r="F49" s="85"/>
      <c r="G49" s="85"/>
      <c r="H49" s="85">
        <f>225000+690000+545000</f>
        <v>1460000</v>
      </c>
      <c r="I49" s="85">
        <v>0</v>
      </c>
      <c r="J49" s="85">
        <v>0</v>
      </c>
      <c r="K49" s="85">
        <v>0</v>
      </c>
      <c r="L49" s="85">
        <v>1050000</v>
      </c>
      <c r="M49" s="85">
        <f t="shared" si="4"/>
        <v>0</v>
      </c>
      <c r="N49" s="91">
        <f t="shared" si="4"/>
        <v>0</v>
      </c>
      <c r="O49" s="91">
        <f t="shared" si="4"/>
        <v>189000</v>
      </c>
      <c r="P49" s="85">
        <v>0</v>
      </c>
      <c r="Q49" s="85">
        <f t="shared" si="3"/>
        <v>1460000</v>
      </c>
      <c r="R49" s="85">
        <f t="shared" si="1"/>
        <v>221000</v>
      </c>
      <c r="S49" s="93">
        <f t="shared" si="5"/>
        <v>3329000</v>
      </c>
    </row>
    <row r="50" customHeight="1" spans="1:19">
      <c r="A50" s="83">
        <v>50</v>
      </c>
      <c r="B50" s="83" t="s">
        <v>62</v>
      </c>
      <c r="C50" s="83">
        <v>87</v>
      </c>
      <c r="D50" s="84">
        <v>4300000</v>
      </c>
      <c r="E50" s="85">
        <v>0</v>
      </c>
      <c r="F50" s="85">
        <v>0</v>
      </c>
      <c r="G50" s="85">
        <v>525000</v>
      </c>
      <c r="H50" s="85">
        <f>300000+2629000</f>
        <v>2929000</v>
      </c>
      <c r="I50" s="85">
        <v>0</v>
      </c>
      <c r="J50" s="85">
        <v>0</v>
      </c>
      <c r="K50" s="85">
        <v>0</v>
      </c>
      <c r="L50" s="85">
        <f>487500+975000</f>
        <v>1462500</v>
      </c>
      <c r="M50" s="85">
        <f t="shared" si="4"/>
        <v>0</v>
      </c>
      <c r="N50" s="91">
        <f t="shared" si="4"/>
        <v>0</v>
      </c>
      <c r="O50" s="91">
        <f t="shared" si="4"/>
        <v>263250</v>
      </c>
      <c r="P50" s="85">
        <v>0</v>
      </c>
      <c r="Q50" s="85">
        <f t="shared" si="3"/>
        <v>3454000</v>
      </c>
      <c r="R50" s="85">
        <f t="shared" si="1"/>
        <v>1728250</v>
      </c>
      <c r="S50" s="93">
        <f t="shared" si="5"/>
        <v>1109250</v>
      </c>
    </row>
    <row r="51" customHeight="1" spans="1:19">
      <c r="A51" s="83">
        <v>51</v>
      </c>
      <c r="B51" s="86" t="s">
        <v>63</v>
      </c>
      <c r="C51" s="86">
        <v>91</v>
      </c>
      <c r="D51" s="87">
        <v>3564000</v>
      </c>
      <c r="E51" s="88">
        <v>0</v>
      </c>
      <c r="F51" s="88">
        <v>0</v>
      </c>
      <c r="G51" s="88">
        <f>1540500+1563000</f>
        <v>3103500</v>
      </c>
      <c r="H51" s="88">
        <v>500000</v>
      </c>
      <c r="I51" s="88">
        <v>759000</v>
      </c>
      <c r="J51" s="88"/>
      <c r="K51" s="88">
        <f>456000+377000-42000</f>
        <v>791000</v>
      </c>
      <c r="L51" s="88">
        <v>395500</v>
      </c>
      <c r="M51" s="85">
        <f t="shared" si="4"/>
        <v>0</v>
      </c>
      <c r="N51" s="91">
        <f t="shared" si="4"/>
        <v>142380</v>
      </c>
      <c r="O51" s="91">
        <f t="shared" si="4"/>
        <v>71190</v>
      </c>
      <c r="P51" s="88">
        <v>9204</v>
      </c>
      <c r="Q51" s="88">
        <f t="shared" si="3"/>
        <v>3603500</v>
      </c>
      <c r="R51" s="85">
        <f t="shared" si="1"/>
        <v>1435226</v>
      </c>
      <c r="S51" s="93">
        <f t="shared" si="5"/>
        <v>183274</v>
      </c>
    </row>
    <row r="52" customHeight="1" spans="1:19">
      <c r="A52" s="89"/>
      <c r="B52" s="90" t="s">
        <v>64</v>
      </c>
      <c r="C52" s="90"/>
      <c r="D52" s="47">
        <f>SUM(D6:D51)</f>
        <v>202185500</v>
      </c>
      <c r="E52" s="47">
        <f t="shared" ref="E52:S52" si="6">SUM(E6:E51)</f>
        <v>4580000</v>
      </c>
      <c r="F52" s="47">
        <f t="shared" si="6"/>
        <v>22831620</v>
      </c>
      <c r="G52" s="47">
        <f t="shared" si="6"/>
        <v>35394244</v>
      </c>
      <c r="H52" s="47">
        <f t="shared" si="6"/>
        <v>103307947</v>
      </c>
      <c r="I52" s="47">
        <f t="shared" si="6"/>
        <v>28752480</v>
      </c>
      <c r="J52" s="47">
        <f t="shared" si="6"/>
        <v>6600250</v>
      </c>
      <c r="K52" s="47">
        <f t="shared" si="6"/>
        <v>19629814</v>
      </c>
      <c r="L52" s="47">
        <f t="shared" si="6"/>
        <v>28898000</v>
      </c>
      <c r="M52" s="47">
        <f t="shared" si="6"/>
        <v>1188045</v>
      </c>
      <c r="N52" s="47">
        <f t="shared" si="6"/>
        <v>3533366.52</v>
      </c>
      <c r="O52" s="47">
        <f t="shared" si="6"/>
        <v>5201640</v>
      </c>
      <c r="P52" s="47">
        <f t="shared" si="6"/>
        <v>980280</v>
      </c>
      <c r="Q52" s="47">
        <f t="shared" si="6"/>
        <v>166113811</v>
      </c>
      <c r="R52" s="47">
        <f t="shared" si="6"/>
        <v>71329935.48</v>
      </c>
      <c r="S52" s="47">
        <f t="shared" si="6"/>
        <v>46975020.52</v>
      </c>
    </row>
    <row r="54" s="71" customFormat="1" customHeight="1" spans="1:15">
      <c r="A54" s="72"/>
      <c r="B54" s="72"/>
      <c r="C54" s="73"/>
      <c r="D54" s="74"/>
      <c r="M54" s="4"/>
      <c r="N54" s="4"/>
      <c r="O54" s="4"/>
    </row>
    <row r="56" customHeight="1" spans="18:18">
      <c r="R56" s="71">
        <v>0</v>
      </c>
    </row>
  </sheetData>
  <printOptions gridLines="1"/>
  <pageMargins left="0.275590551181102" right="0.09" top="0.45" bottom="0.58" header="0.31496062992126" footer="0.31496062992126"/>
  <pageSetup paperSize="1" scale="85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zoomScale="90" zoomScaleNormal="90" workbookViewId="0">
      <pane ySplit="5" topLeftCell="A6" activePane="bottomLeft" state="frozen"/>
      <selection/>
      <selection pane="bottomLeft" activeCell="AB2" sqref="AB2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.712962962963" style="3" hidden="1" customWidth="1"/>
    <col min="6" max="7" width="11.4259259259259" style="3" hidden="1" customWidth="1"/>
    <col min="8" max="9" width="12.4259259259259" style="3" hidden="1" customWidth="1"/>
    <col min="10" max="11" width="11.4259259259259" style="3" hidden="1" customWidth="1"/>
    <col min="12" max="12" width="11.4259259259259" style="3" customWidth="1"/>
    <col min="13" max="13" width="11.1388888888889" style="3" hidden="1" customWidth="1"/>
    <col min="14" max="15" width="11.4259259259259" style="3" hidden="1" customWidth="1"/>
    <col min="16" max="16" width="11.4259259259259" style="3" customWidth="1"/>
    <col min="17" max="19" width="11" style="3" hidden="1" customWidth="1"/>
    <col min="20" max="20" width="11" style="3" customWidth="1"/>
    <col min="21" max="21" width="11.8518518518519" style="3" customWidth="1"/>
    <col min="22" max="22" width="14.712962962963" style="3" customWidth="1"/>
    <col min="23" max="23" width="13.5740740740741" style="3" customWidth="1"/>
    <col min="24" max="24" width="14.4259259259259" style="3" customWidth="1"/>
    <col min="25" max="25" width="15.8518518518519" style="4" customWidth="1"/>
    <col min="26" max="26" width="12.4259259259259" style="3" customWidth="1"/>
    <col min="27" max="16384" width="9.13888888888889" style="4"/>
  </cols>
  <sheetData>
    <row r="1" s="1" customFormat="1" customHeight="1" spans="1:26">
      <c r="A1" s="38" t="s">
        <v>0</v>
      </c>
      <c r="B1" s="38"/>
      <c r="C1" s="38"/>
      <c r="D1" s="38"/>
      <c r="E1" s="38"/>
      <c r="F1" s="38"/>
      <c r="G1" s="39"/>
      <c r="H1" s="39"/>
      <c r="I1" s="39"/>
      <c r="J1" s="39"/>
      <c r="K1" s="39"/>
      <c r="L1" s="64"/>
      <c r="M1" s="64"/>
      <c r="N1" s="64"/>
      <c r="O1" s="64"/>
      <c r="P1" s="64"/>
      <c r="Q1" s="30"/>
      <c r="R1" s="64"/>
      <c r="S1" s="64"/>
      <c r="T1" s="64"/>
      <c r="U1" s="39"/>
      <c r="V1" s="39"/>
      <c r="W1" s="39"/>
      <c r="X1" s="30"/>
      <c r="Z1" s="30"/>
    </row>
    <row r="2" s="1" customFormat="1" customHeight="1" spans="1:26">
      <c r="A2" s="38" t="s">
        <v>67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64"/>
      <c r="M2" s="64"/>
      <c r="N2" s="64"/>
      <c r="O2" s="64"/>
      <c r="P2" s="64"/>
      <c r="Q2" s="30"/>
      <c r="R2" s="64"/>
      <c r="S2" s="64"/>
      <c r="T2" s="64"/>
      <c r="U2" s="39"/>
      <c r="V2" s="39"/>
      <c r="W2" s="39"/>
      <c r="X2" s="30"/>
      <c r="Z2" s="30"/>
    </row>
    <row r="3" s="1" customFormat="1" customHeight="1" spans="1:26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64"/>
      <c r="M3" s="64"/>
      <c r="N3" s="64"/>
      <c r="O3" s="64"/>
      <c r="P3" s="64"/>
      <c r="Q3" s="30"/>
      <c r="R3" s="64"/>
      <c r="S3" s="64"/>
      <c r="T3" s="64"/>
      <c r="U3" s="39"/>
      <c r="V3" s="39"/>
      <c r="W3" s="39"/>
      <c r="X3" s="30"/>
      <c r="Z3" s="30"/>
    </row>
    <row r="4" customHeight="1" spans="1:24">
      <c r="A4" s="40"/>
      <c r="B4" s="40"/>
      <c r="C4" s="40"/>
      <c r="D4" s="41"/>
      <c r="E4" s="40"/>
      <c r="F4" s="40"/>
      <c r="G4" s="40"/>
      <c r="H4" s="40"/>
      <c r="I4" s="40"/>
      <c r="J4" s="40"/>
      <c r="K4" s="40"/>
      <c r="L4" s="65"/>
      <c r="M4" s="65"/>
      <c r="N4" s="65"/>
      <c r="O4" s="65"/>
      <c r="P4" s="65"/>
      <c r="Q4" s="65"/>
      <c r="R4" s="65"/>
      <c r="S4" s="65"/>
      <c r="T4" s="65"/>
      <c r="U4" s="4"/>
      <c r="X4" s="40"/>
    </row>
    <row r="5" s="37" customFormat="1" ht="53.25" customHeight="1" spans="1:26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43" t="s">
        <v>68</v>
      </c>
      <c r="J5" s="43" t="s">
        <v>11</v>
      </c>
      <c r="K5" s="43" t="s">
        <v>69</v>
      </c>
      <c r="L5" s="43" t="s">
        <v>70</v>
      </c>
      <c r="M5" s="43" t="s">
        <v>12</v>
      </c>
      <c r="N5" s="43" t="s">
        <v>13</v>
      </c>
      <c r="O5" s="43" t="s">
        <v>14</v>
      </c>
      <c r="P5" s="43" t="s">
        <v>71</v>
      </c>
      <c r="Q5" s="43" t="s">
        <v>15</v>
      </c>
      <c r="R5" s="43" t="s">
        <v>16</v>
      </c>
      <c r="S5" s="43" t="s">
        <v>17</v>
      </c>
      <c r="T5" s="43" t="s">
        <v>72</v>
      </c>
      <c r="U5" s="43" t="s">
        <v>18</v>
      </c>
      <c r="V5" s="43" t="s">
        <v>73</v>
      </c>
      <c r="W5" s="43" t="s">
        <v>20</v>
      </c>
      <c r="X5" s="43" t="s">
        <v>21</v>
      </c>
      <c r="Y5" s="37" t="s">
        <v>74</v>
      </c>
      <c r="Z5" s="43"/>
    </row>
    <row r="6" customHeight="1" spans="1:24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67">
        <f>D6+Q6+R6+U6+S6-V6+T6</f>
        <v>476750</v>
      </c>
    </row>
    <row r="7" customHeight="1" spans="1:24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67">
        <f t="shared" ref="X7:X53" si="4">D7+Q7+R7+U7+S7-V7+T7</f>
        <v>2219440</v>
      </c>
    </row>
    <row r="8" customHeight="1" spans="1:24">
      <c r="A8" s="44">
        <v>3</v>
      </c>
      <c r="B8" s="44" t="s">
        <v>25</v>
      </c>
      <c r="C8" s="44">
        <v>19</v>
      </c>
      <c r="D8" s="45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67">
        <f t="shared" si="4"/>
        <v>184500</v>
      </c>
    </row>
    <row r="9" customHeight="1" spans="1:24">
      <c r="A9" s="44">
        <v>4</v>
      </c>
      <c r="B9" s="44" t="s">
        <v>26</v>
      </c>
      <c r="C9" s="44">
        <v>21</v>
      </c>
      <c r="D9" s="45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67">
        <f t="shared" si="4"/>
        <v>309824</v>
      </c>
    </row>
    <row r="10" customHeight="1" spans="1:25">
      <c r="A10" s="44">
        <v>5</v>
      </c>
      <c r="B10" s="44" t="s">
        <v>27</v>
      </c>
      <c r="C10" s="44">
        <v>22</v>
      </c>
      <c r="D10" s="45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67">
        <f t="shared" si="4"/>
        <v>-9464</v>
      </c>
      <c r="Y10" s="4" t="s">
        <v>75</v>
      </c>
    </row>
    <row r="11" customHeight="1" spans="1:24">
      <c r="A11" s="44">
        <v>6</v>
      </c>
      <c r="B11" s="44" t="s">
        <v>25</v>
      </c>
      <c r="C11" s="44">
        <v>25</v>
      </c>
      <c r="D11" s="45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67">
        <f t="shared" si="4"/>
        <v>184500</v>
      </c>
    </row>
    <row r="12" customHeight="1" spans="1:24">
      <c r="A12" s="44">
        <v>7</v>
      </c>
      <c r="B12" s="44" t="s">
        <v>28</v>
      </c>
      <c r="C12" s="44">
        <v>29</v>
      </c>
      <c r="D12" s="45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67">
        <f t="shared" si="4"/>
        <v>785500</v>
      </c>
    </row>
    <row r="13" customHeight="1" spans="1:24">
      <c r="A13" s="44">
        <v>8</v>
      </c>
      <c r="B13" s="44" t="s">
        <v>29</v>
      </c>
      <c r="C13" s="44">
        <v>30</v>
      </c>
      <c r="D13" s="45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67">
        <f t="shared" si="4"/>
        <v>231954</v>
      </c>
    </row>
    <row r="14" customHeight="1" spans="1:24">
      <c r="A14" s="44">
        <v>9</v>
      </c>
      <c r="B14" s="44" t="s">
        <v>30</v>
      </c>
      <c r="C14" s="44">
        <v>31</v>
      </c>
      <c r="D14" s="45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67">
        <f t="shared" si="4"/>
        <v>1105500</v>
      </c>
    </row>
    <row r="15" customHeight="1" spans="1:24">
      <c r="A15" s="44">
        <v>10</v>
      </c>
      <c r="B15" s="44" t="s">
        <v>31</v>
      </c>
      <c r="C15" s="44">
        <v>32</v>
      </c>
      <c r="D15" s="45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67">
        <f t="shared" si="4"/>
        <v>-175606.5</v>
      </c>
    </row>
    <row r="16" customHeight="1" spans="1:24">
      <c r="A16" s="44">
        <v>11</v>
      </c>
      <c r="B16" s="44" t="s">
        <v>32</v>
      </c>
      <c r="C16" s="44">
        <v>33</v>
      </c>
      <c r="D16" s="45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67">
        <f t="shared" si="4"/>
        <v>-123725</v>
      </c>
    </row>
    <row r="17" customHeight="1" spans="1:24">
      <c r="A17" s="44">
        <v>12</v>
      </c>
      <c r="B17" s="44" t="s">
        <v>33</v>
      </c>
      <c r="C17" s="44">
        <v>34</v>
      </c>
      <c r="D17" s="45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67">
        <f t="shared" si="4"/>
        <v>487329</v>
      </c>
    </row>
    <row r="18" customHeight="1" spans="1:24">
      <c r="A18" s="44">
        <v>13</v>
      </c>
      <c r="B18" s="44" t="s">
        <v>34</v>
      </c>
      <c r="C18" s="44">
        <v>35</v>
      </c>
      <c r="D18" s="45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67">
        <f t="shared" si="4"/>
        <v>391954</v>
      </c>
    </row>
    <row r="19" customHeight="1" spans="1:24">
      <c r="A19" s="44">
        <v>14</v>
      </c>
      <c r="B19" s="44" t="s">
        <v>35</v>
      </c>
      <c r="C19" s="44">
        <v>37</v>
      </c>
      <c r="D19" s="45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67">
        <f t="shared" si="4"/>
        <v>542750</v>
      </c>
    </row>
    <row r="20" customHeight="1" spans="1:24">
      <c r="A20" s="44">
        <v>15</v>
      </c>
      <c r="B20" s="44" t="s">
        <v>36</v>
      </c>
      <c r="C20" s="44">
        <v>38</v>
      </c>
      <c r="D20" s="45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67">
        <f t="shared" si="4"/>
        <v>1335500</v>
      </c>
    </row>
    <row r="21" customHeight="1" spans="1:24">
      <c r="A21" s="44">
        <v>16</v>
      </c>
      <c r="B21" s="44" t="s">
        <v>37</v>
      </c>
      <c r="C21" s="44">
        <v>39</v>
      </c>
      <c r="D21" s="45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67">
        <f t="shared" si="4"/>
        <v>1011125</v>
      </c>
    </row>
    <row r="22" customHeight="1" spans="1:24">
      <c r="A22" s="44">
        <v>17</v>
      </c>
      <c r="B22" s="44" t="s">
        <v>38</v>
      </c>
      <c r="C22" s="44">
        <v>40</v>
      </c>
      <c r="D22" s="45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67">
        <f t="shared" si="4"/>
        <v>2468480</v>
      </c>
    </row>
    <row r="23" customHeight="1" spans="1:24">
      <c r="A23" s="44">
        <v>18</v>
      </c>
      <c r="B23" s="44" t="s">
        <v>39</v>
      </c>
      <c r="C23" s="44">
        <v>41</v>
      </c>
      <c r="D23" s="45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67">
        <f t="shared" si="4"/>
        <v>745779</v>
      </c>
    </row>
    <row r="24" customHeight="1" spans="1:24">
      <c r="A24" s="44">
        <v>19</v>
      </c>
      <c r="B24" s="44" t="s">
        <v>25</v>
      </c>
      <c r="C24" s="44">
        <v>42</v>
      </c>
      <c r="D24" s="45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67">
        <f t="shared" si="4"/>
        <v>2900000</v>
      </c>
    </row>
    <row r="25" customHeight="1" spans="1:24">
      <c r="A25" s="44">
        <v>20</v>
      </c>
      <c r="B25" s="44" t="s">
        <v>25</v>
      </c>
      <c r="C25" s="44">
        <v>43</v>
      </c>
      <c r="D25" s="45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67">
        <f t="shared" si="4"/>
        <v>184500</v>
      </c>
    </row>
    <row r="26" customHeight="1" spans="1:24">
      <c r="A26" s="44">
        <v>21</v>
      </c>
      <c r="B26" s="44" t="s">
        <v>25</v>
      </c>
      <c r="C26" s="44">
        <v>45</v>
      </c>
      <c r="D26" s="45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67">
        <f t="shared" si="4"/>
        <v>126000</v>
      </c>
    </row>
    <row r="27" customHeight="1" spans="1:24">
      <c r="A27" s="44">
        <v>22</v>
      </c>
      <c r="B27" s="44" t="s">
        <v>40</v>
      </c>
      <c r="C27" s="44">
        <v>46</v>
      </c>
      <c r="D27" s="45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67">
        <f t="shared" si="4"/>
        <v>2648000</v>
      </c>
    </row>
    <row r="28" customHeight="1" spans="1:24">
      <c r="A28" s="44">
        <v>23</v>
      </c>
      <c r="B28" s="44" t="s">
        <v>41</v>
      </c>
      <c r="C28" s="44">
        <v>48</v>
      </c>
      <c r="D28" s="45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67">
        <f t="shared" si="4"/>
        <v>151228</v>
      </c>
    </row>
    <row r="29" customHeight="1" spans="1:24">
      <c r="A29" s="44">
        <v>24</v>
      </c>
      <c r="B29" s="44" t="s">
        <v>25</v>
      </c>
      <c r="C29" s="44">
        <v>49</v>
      </c>
      <c r="D29" s="45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67">
        <f t="shared" si="4"/>
        <v>184500</v>
      </c>
    </row>
    <row r="30" customHeight="1" spans="1:24">
      <c r="A30" s="44">
        <v>25</v>
      </c>
      <c r="B30" s="44" t="s">
        <v>25</v>
      </c>
      <c r="C30" s="44">
        <v>51</v>
      </c>
      <c r="D30" s="45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67">
        <f t="shared" si="4"/>
        <v>126000</v>
      </c>
    </row>
    <row r="31" customHeight="1" spans="1:24">
      <c r="A31" s="44">
        <v>26</v>
      </c>
      <c r="B31" s="44" t="s">
        <v>25</v>
      </c>
      <c r="C31" s="44">
        <v>52</v>
      </c>
      <c r="D31" s="45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67">
        <f t="shared" si="4"/>
        <v>126000</v>
      </c>
    </row>
    <row r="32" customHeight="1" spans="1:24">
      <c r="A32" s="44">
        <v>27</v>
      </c>
      <c r="B32" s="44" t="s">
        <v>43</v>
      </c>
      <c r="C32" s="44">
        <v>54</v>
      </c>
      <c r="D32" s="45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67">
        <f t="shared" si="4"/>
        <v>184500</v>
      </c>
    </row>
    <row r="33" customHeight="1" spans="1:24">
      <c r="A33" s="44">
        <v>28</v>
      </c>
      <c r="B33" s="44" t="s">
        <v>44</v>
      </c>
      <c r="C33" s="44">
        <v>55</v>
      </c>
      <c r="D33" s="45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67">
        <f t="shared" si="4"/>
        <v>2246000</v>
      </c>
    </row>
    <row r="34" customHeight="1" spans="1:24">
      <c r="A34" s="44">
        <v>29</v>
      </c>
      <c r="B34" s="44" t="s">
        <v>45</v>
      </c>
      <c r="C34" s="44">
        <v>56</v>
      </c>
      <c r="D34" s="45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67">
        <f t="shared" si="4"/>
        <v>1491000</v>
      </c>
    </row>
    <row r="35" customHeight="1" spans="1:24">
      <c r="A35" s="44">
        <v>30</v>
      </c>
      <c r="B35" s="44" t="s">
        <v>46</v>
      </c>
      <c r="C35" s="44">
        <v>57</v>
      </c>
      <c r="D35" s="45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67">
        <f t="shared" si="4"/>
        <v>726250</v>
      </c>
    </row>
    <row r="36" customHeight="1" spans="1:24">
      <c r="A36" s="44">
        <v>31</v>
      </c>
      <c r="B36" s="44" t="s">
        <v>47</v>
      </c>
      <c r="C36" s="44">
        <v>59</v>
      </c>
      <c r="D36" s="45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67">
        <f t="shared" si="4"/>
        <v>1303454</v>
      </c>
    </row>
    <row r="37" customHeight="1" spans="1:24">
      <c r="A37" s="44">
        <v>32</v>
      </c>
      <c r="B37" s="44" t="s">
        <v>48</v>
      </c>
      <c r="C37" s="44">
        <v>60</v>
      </c>
      <c r="D37" s="45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67">
        <f t="shared" si="4"/>
        <v>1631704</v>
      </c>
    </row>
    <row r="38" customHeight="1" spans="1:24">
      <c r="A38" s="44">
        <v>33</v>
      </c>
      <c r="B38" s="44" t="s">
        <v>49</v>
      </c>
      <c r="C38" s="44">
        <v>61</v>
      </c>
      <c r="D38" s="45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67">
        <f t="shared" si="4"/>
        <v>425818</v>
      </c>
    </row>
    <row r="39" customHeight="1" spans="1:25">
      <c r="A39" s="44">
        <v>34</v>
      </c>
      <c r="B39" s="44" t="s">
        <v>50</v>
      </c>
      <c r="C39" s="44">
        <v>63</v>
      </c>
      <c r="D39" s="45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67">
        <f t="shared" si="4"/>
        <v>0</v>
      </c>
      <c r="Y39" s="4" t="s">
        <v>75</v>
      </c>
    </row>
    <row r="40" customHeight="1" spans="1:25">
      <c r="A40" s="44">
        <v>35</v>
      </c>
      <c r="B40" s="44" t="s">
        <v>51</v>
      </c>
      <c r="C40" s="44">
        <v>64</v>
      </c>
      <c r="D40" s="45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67">
        <f t="shared" si="4"/>
        <v>1</v>
      </c>
      <c r="Y40" s="4" t="s">
        <v>75</v>
      </c>
    </row>
    <row r="41" customHeight="1" spans="1:24">
      <c r="A41" s="44">
        <v>36</v>
      </c>
      <c r="B41" s="44" t="s">
        <v>52</v>
      </c>
      <c r="C41" s="44">
        <v>65</v>
      </c>
      <c r="D41" s="45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67">
        <f t="shared" si="4"/>
        <v>1383484</v>
      </c>
    </row>
    <row r="42" customHeight="1" spans="1:24">
      <c r="A42" s="44">
        <v>37</v>
      </c>
      <c r="B42" s="44" t="s">
        <v>53</v>
      </c>
      <c r="C42" s="44">
        <v>66</v>
      </c>
      <c r="D42" s="45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67">
        <f t="shared" si="4"/>
        <v>1072800</v>
      </c>
    </row>
    <row r="43" customHeight="1" spans="1:24">
      <c r="A43" s="44">
        <v>38</v>
      </c>
      <c r="B43" s="44" t="s">
        <v>54</v>
      </c>
      <c r="C43" s="44">
        <v>69</v>
      </c>
      <c r="D43" s="45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67">
        <f t="shared" si="4"/>
        <v>2148000</v>
      </c>
    </row>
    <row r="44" customHeight="1" spans="1:24">
      <c r="A44" s="44">
        <v>39</v>
      </c>
      <c r="B44" s="44" t="s">
        <v>55</v>
      </c>
      <c r="C44" s="44">
        <v>70</v>
      </c>
      <c r="D44" s="45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67">
        <f t="shared" si="4"/>
        <v>2006704</v>
      </c>
    </row>
    <row r="45" customHeight="1" spans="1:24">
      <c r="A45" s="44">
        <v>40</v>
      </c>
      <c r="B45" s="44" t="s">
        <v>43</v>
      </c>
      <c r="C45" s="44">
        <v>72</v>
      </c>
      <c r="D45" s="45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67">
        <f t="shared" si="4"/>
        <v>0</v>
      </c>
    </row>
    <row r="46" customHeight="1" spans="1:24">
      <c r="A46" s="44">
        <v>41</v>
      </c>
      <c r="B46" s="44" t="s">
        <v>56</v>
      </c>
      <c r="C46" s="44">
        <v>74</v>
      </c>
      <c r="D46" s="45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67">
        <f t="shared" si="4"/>
        <v>231954</v>
      </c>
    </row>
    <row r="47" customHeight="1" spans="1:24">
      <c r="A47" s="44">
        <v>42</v>
      </c>
      <c r="B47" s="44" t="s">
        <v>57</v>
      </c>
      <c r="C47" s="44">
        <v>75</v>
      </c>
      <c r="D47" s="45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</v>
      </c>
      <c r="V47" s="3">
        <f t="shared" si="3"/>
        <v>2622863</v>
      </c>
      <c r="W47" s="3">
        <f t="shared" si="1"/>
        <v>150773.38</v>
      </c>
      <c r="X47" s="67">
        <f t="shared" si="4"/>
        <v>967348.62</v>
      </c>
    </row>
    <row r="48" customHeight="1" spans="1:24">
      <c r="A48" s="44">
        <v>43</v>
      </c>
      <c r="B48" s="44" t="s">
        <v>58</v>
      </c>
      <c r="C48" s="44">
        <v>76</v>
      </c>
      <c r="D48" s="45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67">
        <f t="shared" si="4"/>
        <v>428950</v>
      </c>
    </row>
    <row r="49" customHeight="1" spans="1:24">
      <c r="A49" s="44">
        <v>44</v>
      </c>
      <c r="B49" s="44" t="s">
        <v>59</v>
      </c>
      <c r="C49" s="44">
        <v>81</v>
      </c>
      <c r="D49" s="45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67">
        <f t="shared" si="4"/>
        <v>1765420</v>
      </c>
    </row>
    <row r="50" customHeight="1" spans="1:24">
      <c r="A50" s="44">
        <v>45</v>
      </c>
      <c r="B50" s="44" t="s">
        <v>60</v>
      </c>
      <c r="C50" s="44">
        <v>82</v>
      </c>
      <c r="D50" s="45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67">
        <f t="shared" si="4"/>
        <v>1723500</v>
      </c>
    </row>
    <row r="51" customHeight="1" spans="1:24">
      <c r="A51" s="44">
        <v>46</v>
      </c>
      <c r="B51" s="44" t="s">
        <v>61</v>
      </c>
      <c r="C51" s="44">
        <v>84</v>
      </c>
      <c r="D51" s="45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67">
        <f t="shared" si="4"/>
        <v>3329000</v>
      </c>
    </row>
    <row r="52" customHeight="1" spans="1:24">
      <c r="A52" s="44">
        <v>47</v>
      </c>
      <c r="B52" s="44" t="s">
        <v>62</v>
      </c>
      <c r="C52" s="44">
        <v>87</v>
      </c>
      <c r="D52" s="45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67">
        <f t="shared" si="4"/>
        <v>1109250</v>
      </c>
    </row>
    <row r="53" customHeight="1" spans="1:24">
      <c r="A53" s="44">
        <v>48</v>
      </c>
      <c r="B53" s="44" t="s">
        <v>63</v>
      </c>
      <c r="C53" s="44">
        <v>91</v>
      </c>
      <c r="D53" s="45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67">
        <f t="shared" si="4"/>
        <v>183274</v>
      </c>
    </row>
    <row r="54" customHeight="1" spans="1:24">
      <c r="A54" s="44"/>
      <c r="B54" s="46" t="s">
        <v>64</v>
      </c>
      <c r="C54" s="46"/>
      <c r="D54" s="47">
        <f>SUM(D6:D53)</f>
        <v>214185500</v>
      </c>
      <c r="E54" s="47">
        <f t="shared" ref="E54:U54" si="12">SUM(E6:E53)</f>
        <v>4580000</v>
      </c>
      <c r="F54" s="47">
        <f t="shared" si="12"/>
        <v>22831620</v>
      </c>
      <c r="G54" s="47">
        <f t="shared" si="12"/>
        <v>35394244</v>
      </c>
      <c r="H54" s="47">
        <f t="shared" si="12"/>
        <v>102507947</v>
      </c>
      <c r="I54" s="47">
        <f t="shared" ref="I54:K54" si="13">SUM(I6:I53)</f>
        <v>17550021</v>
      </c>
      <c r="J54" s="47">
        <f t="shared" si="13"/>
        <v>28752480</v>
      </c>
      <c r="K54" s="47">
        <f t="shared" si="13"/>
        <v>26375584</v>
      </c>
      <c r="L54" s="66"/>
      <c r="M54" s="66">
        <f t="shared" si="12"/>
        <v>6600250</v>
      </c>
      <c r="N54" s="66">
        <f t="shared" si="12"/>
        <v>19629814</v>
      </c>
      <c r="O54" s="66">
        <f t="shared" si="12"/>
        <v>28898000</v>
      </c>
      <c r="P54" s="66">
        <f t="shared" si="12"/>
        <v>2941500</v>
      </c>
      <c r="Q54" s="66">
        <f t="shared" si="12"/>
        <v>1188045</v>
      </c>
      <c r="R54" s="66">
        <f t="shared" si="12"/>
        <v>3533366.52</v>
      </c>
      <c r="S54" s="66">
        <f t="shared" si="12"/>
        <v>5201640</v>
      </c>
      <c r="T54" s="68">
        <f t="shared" si="2"/>
        <v>529470</v>
      </c>
      <c r="U54" s="47">
        <f t="shared" si="12"/>
        <v>1202539.6</v>
      </c>
      <c r="V54" s="68">
        <f t="shared" si="3"/>
        <v>182863832</v>
      </c>
      <c r="W54" s="68">
        <f>SUM(W6:W53)</f>
        <v>55069642.88</v>
      </c>
      <c r="X54" s="68">
        <f>SUM(X6:X53)</f>
        <v>42976729.12</v>
      </c>
    </row>
    <row r="56" s="3" customFormat="1" customHeight="1" spans="1:4">
      <c r="A56" s="4"/>
      <c r="B56" s="4"/>
      <c r="C56" s="5"/>
      <c r="D56" s="6"/>
    </row>
  </sheetData>
  <printOptions gridLines="1"/>
  <pageMargins left="0.275590551181102" right="0.09" top="0.45" bottom="0.58" header="0.31496062992126" footer="0.31496062992126"/>
  <pageSetup paperSize="1" scale="85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zoomScale="90" zoomScaleNormal="90" workbookViewId="0">
      <pane ySplit="5" topLeftCell="A6" activePane="bottomLeft" state="frozen"/>
      <selection/>
      <selection pane="bottomLeft" activeCell="D61" sqref="D61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.712962962963" style="3" customWidth="1"/>
    <col min="6" max="7" width="11.4259259259259" style="3" customWidth="1"/>
    <col min="8" max="8" width="12.4259259259259" style="3" customWidth="1"/>
    <col min="9" max="9" width="12.4259259259259" style="7" customWidth="1"/>
    <col min="10" max="12" width="11.4259259259259" style="6" hidden="1" customWidth="1"/>
    <col min="13" max="13" width="11.1388888888889" style="6" hidden="1" customWidth="1"/>
    <col min="14" max="15" width="11.4259259259259" style="6" hidden="1" customWidth="1"/>
    <col min="16" max="16" width="11.4259259259259" style="6" customWidth="1"/>
    <col min="17" max="19" width="11" style="6" hidden="1" customWidth="1"/>
    <col min="20" max="20" width="11" style="6" customWidth="1"/>
    <col min="21" max="21" width="11.8518518518519" style="6" customWidth="1"/>
    <col min="22" max="22" width="14.712962962963" style="8" customWidth="1"/>
    <col min="23" max="23" width="13.5740740740741" style="8" customWidth="1"/>
    <col min="24" max="24" width="13.4259259259259" style="8" customWidth="1"/>
    <col min="25" max="25" width="19.5740740740741" style="4" customWidth="1"/>
    <col min="26" max="26" width="12.4259259259259" style="3" customWidth="1"/>
    <col min="27" max="16384" width="9.13888888888889" style="4"/>
  </cols>
  <sheetData>
    <row r="1" s="1" customFormat="1" customHeight="1" spans="1:26">
      <c r="A1" s="38" t="s">
        <v>0</v>
      </c>
      <c r="B1" s="38"/>
      <c r="C1" s="38"/>
      <c r="D1" s="38"/>
      <c r="E1" s="38"/>
      <c r="F1" s="38"/>
      <c r="G1" s="39"/>
      <c r="H1" s="39"/>
      <c r="I1" s="38"/>
      <c r="J1" s="48"/>
      <c r="K1" s="48"/>
      <c r="L1" s="49"/>
      <c r="M1" s="49"/>
      <c r="N1" s="49"/>
      <c r="O1" s="49"/>
      <c r="P1" s="49"/>
      <c r="Q1" s="54"/>
      <c r="R1" s="49"/>
      <c r="S1" s="49"/>
      <c r="T1" s="49"/>
      <c r="U1" s="48"/>
      <c r="V1" s="55"/>
      <c r="W1" s="55"/>
      <c r="X1" s="57"/>
      <c r="Z1" s="30"/>
    </row>
    <row r="2" s="1" customFormat="1" customHeight="1" spans="1:26">
      <c r="A2" s="38" t="s">
        <v>76</v>
      </c>
      <c r="B2" s="38"/>
      <c r="C2" s="38"/>
      <c r="D2" s="38"/>
      <c r="E2" s="38"/>
      <c r="F2" s="38"/>
      <c r="G2" s="39"/>
      <c r="H2" s="39"/>
      <c r="I2" s="38"/>
      <c r="J2" s="48"/>
      <c r="K2" s="48"/>
      <c r="L2" s="49"/>
      <c r="M2" s="49"/>
      <c r="N2" s="49"/>
      <c r="O2" s="49"/>
      <c r="P2" s="49"/>
      <c r="Q2" s="54"/>
      <c r="R2" s="49"/>
      <c r="S2" s="49"/>
      <c r="T2" s="49"/>
      <c r="U2" s="48"/>
      <c r="V2" s="55"/>
      <c r="W2" s="55"/>
      <c r="X2" s="57"/>
      <c r="Z2" s="30"/>
    </row>
    <row r="3" s="1" customFormat="1" customHeight="1" spans="1:26">
      <c r="A3" s="39" t="s">
        <v>2</v>
      </c>
      <c r="B3" s="39"/>
      <c r="C3" s="39"/>
      <c r="D3" s="39"/>
      <c r="E3" s="39"/>
      <c r="F3" s="39"/>
      <c r="G3" s="39"/>
      <c r="H3" s="39"/>
      <c r="I3" s="38"/>
      <c r="J3" s="48"/>
      <c r="K3" s="48"/>
      <c r="L3" s="49"/>
      <c r="M3" s="49"/>
      <c r="N3" s="49"/>
      <c r="O3" s="49"/>
      <c r="P3" s="49"/>
      <c r="Q3" s="54"/>
      <c r="R3" s="49"/>
      <c r="S3" s="49"/>
      <c r="T3" s="49"/>
      <c r="U3" s="48"/>
      <c r="V3" s="55"/>
      <c r="W3" s="55"/>
      <c r="X3" s="57"/>
      <c r="Z3" s="30"/>
    </row>
    <row r="4" customHeight="1" spans="1:24">
      <c r="A4" s="40"/>
      <c r="B4" s="40"/>
      <c r="C4" s="40"/>
      <c r="D4" s="41"/>
      <c r="E4" s="40"/>
      <c r="F4" s="40"/>
      <c r="G4" s="40"/>
      <c r="H4" s="40"/>
      <c r="I4" s="46"/>
      <c r="J4" s="50"/>
      <c r="K4" s="50"/>
      <c r="L4" s="41"/>
      <c r="M4" s="41"/>
      <c r="N4" s="41"/>
      <c r="O4" s="41"/>
      <c r="P4" s="41"/>
      <c r="Q4" s="41"/>
      <c r="R4" s="41"/>
      <c r="S4" s="41"/>
      <c r="T4" s="41"/>
      <c r="U4" s="58"/>
      <c r="X4" s="59"/>
    </row>
    <row r="5" s="37" customFormat="1" ht="53.25" customHeight="1" spans="1:26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51" t="s">
        <v>68</v>
      </c>
      <c r="J5" s="32" t="s">
        <v>11</v>
      </c>
      <c r="K5" s="32" t="s">
        <v>69</v>
      </c>
      <c r="L5" s="32" t="s">
        <v>70</v>
      </c>
      <c r="M5" s="32" t="s">
        <v>12</v>
      </c>
      <c r="N5" s="32" t="s">
        <v>13</v>
      </c>
      <c r="O5" s="32" t="s">
        <v>14</v>
      </c>
      <c r="P5" s="32" t="s">
        <v>71</v>
      </c>
      <c r="Q5" s="32" t="s">
        <v>15</v>
      </c>
      <c r="R5" s="32" t="s">
        <v>16</v>
      </c>
      <c r="S5" s="32" t="s">
        <v>17</v>
      </c>
      <c r="T5" s="32" t="s">
        <v>72</v>
      </c>
      <c r="U5" s="32" t="s">
        <v>18</v>
      </c>
      <c r="V5" s="60" t="s">
        <v>73</v>
      </c>
      <c r="W5" s="60" t="s">
        <v>20</v>
      </c>
      <c r="X5" s="60" t="s">
        <v>21</v>
      </c>
      <c r="Y5" s="37" t="s">
        <v>74</v>
      </c>
      <c r="Z5" s="43"/>
    </row>
    <row r="6" customHeight="1" spans="1:24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61">
        <f t="shared" ref="X6:X41" si="4">D6+Q6+R6+U6+S6-V6+T6</f>
        <v>221750</v>
      </c>
    </row>
    <row r="7" customHeight="1" spans="1:24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61">
        <f t="shared" si="4"/>
        <v>2219440</v>
      </c>
    </row>
    <row r="8" customHeight="1" spans="1:24">
      <c r="A8" s="44">
        <v>3</v>
      </c>
      <c r="B8" s="44" t="s">
        <v>25</v>
      </c>
      <c r="C8" s="44">
        <v>19</v>
      </c>
      <c r="D8" s="45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61">
        <f t="shared" si="4"/>
        <v>184500</v>
      </c>
    </row>
    <row r="9" customHeight="1" spans="1:24">
      <c r="A9" s="44">
        <v>4</v>
      </c>
      <c r="B9" s="44" t="s">
        <v>26</v>
      </c>
      <c r="C9" s="44">
        <v>21</v>
      </c>
      <c r="D9" s="45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61">
        <f t="shared" si="4"/>
        <v>309824</v>
      </c>
    </row>
    <row r="10" customHeight="1" spans="1:25">
      <c r="A10" s="44">
        <v>5</v>
      </c>
      <c r="B10" s="44" t="s">
        <v>27</v>
      </c>
      <c r="C10" s="44">
        <v>22</v>
      </c>
      <c r="D10" s="45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61">
        <f t="shared" si="4"/>
        <v>-89</v>
      </c>
      <c r="Y10" s="4" t="s">
        <v>75</v>
      </c>
    </row>
    <row r="11" customHeight="1" spans="1:24">
      <c r="A11" s="44">
        <v>6</v>
      </c>
      <c r="B11" s="44" t="s">
        <v>43</v>
      </c>
      <c r="C11" s="44">
        <v>24</v>
      </c>
      <c r="D11" s="45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61">
        <f t="shared" si="4"/>
        <v>126000</v>
      </c>
    </row>
    <row r="12" customHeight="1" spans="1:24">
      <c r="A12" s="44">
        <v>7</v>
      </c>
      <c r="B12" s="44" t="s">
        <v>25</v>
      </c>
      <c r="C12" s="44">
        <v>25</v>
      </c>
      <c r="D12" s="45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61">
        <f t="shared" si="4"/>
        <v>184500</v>
      </c>
    </row>
    <row r="13" customHeight="1" spans="1:24">
      <c r="A13" s="44">
        <v>8</v>
      </c>
      <c r="B13" s="44" t="s">
        <v>28</v>
      </c>
      <c r="C13" s="44">
        <v>29</v>
      </c>
      <c r="D13" s="45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61">
        <f t="shared" si="4"/>
        <v>440500</v>
      </c>
    </row>
    <row r="14" customHeight="1" spans="1:25">
      <c r="A14" s="44">
        <v>9</v>
      </c>
      <c r="B14" s="44" t="s">
        <v>29</v>
      </c>
      <c r="C14" s="44">
        <v>30</v>
      </c>
      <c r="D14" s="45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61">
        <f t="shared" si="4"/>
        <v>89204</v>
      </c>
      <c r="Y14" s="4" t="s">
        <v>75</v>
      </c>
    </row>
    <row r="15" customHeight="1" spans="1:24">
      <c r="A15" s="44">
        <v>10</v>
      </c>
      <c r="B15" s="44" t="s">
        <v>30</v>
      </c>
      <c r="C15" s="44">
        <v>31</v>
      </c>
      <c r="D15" s="45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61">
        <f t="shared" si="4"/>
        <v>1105500</v>
      </c>
    </row>
    <row r="16" customHeight="1" spans="1:24">
      <c r="A16" s="44">
        <v>11</v>
      </c>
      <c r="B16" s="44" t="s">
        <v>31</v>
      </c>
      <c r="C16" s="44">
        <v>32</v>
      </c>
      <c r="D16" s="45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61">
        <f t="shared" si="4"/>
        <v>-175606.5</v>
      </c>
    </row>
    <row r="17" customHeight="1" spans="1:25">
      <c r="A17" s="44">
        <v>12</v>
      </c>
      <c r="B17" s="44" t="s">
        <v>32</v>
      </c>
      <c r="C17" s="44">
        <v>33</v>
      </c>
      <c r="D17" s="45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61">
        <f t="shared" si="4"/>
        <v>0</v>
      </c>
      <c r="Y17" s="4" t="s">
        <v>77</v>
      </c>
    </row>
    <row r="18" customHeight="1" spans="1:24">
      <c r="A18" s="44">
        <v>13</v>
      </c>
      <c r="B18" s="44" t="s">
        <v>33</v>
      </c>
      <c r="C18" s="44">
        <v>34</v>
      </c>
      <c r="D18" s="45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61">
        <f t="shared" si="4"/>
        <v>-52171</v>
      </c>
    </row>
    <row r="19" customHeight="1" spans="1:24">
      <c r="A19" s="44">
        <v>14</v>
      </c>
      <c r="B19" s="44" t="s">
        <v>34</v>
      </c>
      <c r="C19" s="44">
        <v>35</v>
      </c>
      <c r="D19" s="45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61">
        <f t="shared" si="4"/>
        <v>391954</v>
      </c>
    </row>
    <row r="20" customHeight="1" spans="1:24">
      <c r="A20" s="44">
        <v>15</v>
      </c>
      <c r="B20" s="44" t="s">
        <v>35</v>
      </c>
      <c r="C20" s="44">
        <v>37</v>
      </c>
      <c r="D20" s="45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61">
        <f t="shared" si="4"/>
        <v>542750</v>
      </c>
    </row>
    <row r="21" customHeight="1" spans="1:24">
      <c r="A21" s="44">
        <v>16</v>
      </c>
      <c r="B21" s="44" t="s">
        <v>36</v>
      </c>
      <c r="C21" s="44">
        <v>38</v>
      </c>
      <c r="D21" s="45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61">
        <f t="shared" si="4"/>
        <v>1335500</v>
      </c>
    </row>
    <row r="22" customHeight="1" spans="1:24">
      <c r="A22" s="44">
        <v>17</v>
      </c>
      <c r="B22" s="44" t="s">
        <v>37</v>
      </c>
      <c r="C22" s="44">
        <v>39</v>
      </c>
      <c r="D22" s="45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61">
        <f t="shared" si="4"/>
        <v>1011125</v>
      </c>
    </row>
    <row r="23" customHeight="1" spans="1:24">
      <c r="A23" s="44">
        <v>18</v>
      </c>
      <c r="B23" s="44" t="s">
        <v>38</v>
      </c>
      <c r="C23" s="44">
        <v>40</v>
      </c>
      <c r="D23" s="45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61">
        <f t="shared" si="4"/>
        <v>2468480</v>
      </c>
    </row>
    <row r="24" customHeight="1" spans="1:24">
      <c r="A24" s="44">
        <v>19</v>
      </c>
      <c r="B24" s="44" t="s">
        <v>39</v>
      </c>
      <c r="C24" s="44">
        <v>41</v>
      </c>
      <c r="D24" s="45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61">
        <f t="shared" si="4"/>
        <v>745779</v>
      </c>
    </row>
    <row r="25" customHeight="1" spans="1:24">
      <c r="A25" s="44">
        <v>20</v>
      </c>
      <c r="B25" s="44" t="s">
        <v>25</v>
      </c>
      <c r="C25" s="44">
        <v>42</v>
      </c>
      <c r="D25" s="45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61">
        <f t="shared" si="4"/>
        <v>526000</v>
      </c>
    </row>
    <row r="26" customHeight="1" spans="1:24">
      <c r="A26" s="44">
        <v>21</v>
      </c>
      <c r="B26" s="44" t="s">
        <v>25</v>
      </c>
      <c r="C26" s="44">
        <v>43</v>
      </c>
      <c r="D26" s="45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61">
        <f t="shared" si="4"/>
        <v>184500</v>
      </c>
    </row>
    <row r="27" customHeight="1" spans="1:24">
      <c r="A27" s="44">
        <v>22</v>
      </c>
      <c r="B27" s="44" t="s">
        <v>25</v>
      </c>
      <c r="C27" s="44">
        <v>45</v>
      </c>
      <c r="D27" s="45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61">
        <f t="shared" si="4"/>
        <v>252000</v>
      </c>
    </row>
    <row r="28" customHeight="1" spans="1:24">
      <c r="A28" s="44">
        <v>23</v>
      </c>
      <c r="B28" s="44" t="s">
        <v>40</v>
      </c>
      <c r="C28" s="44">
        <v>46</v>
      </c>
      <c r="D28" s="45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61">
        <f t="shared" si="4"/>
        <v>2648000</v>
      </c>
    </row>
    <row r="29" customHeight="1" spans="1:24">
      <c r="A29" s="44">
        <v>24</v>
      </c>
      <c r="B29" s="44" t="s">
        <v>41</v>
      </c>
      <c r="C29" s="44">
        <v>48</v>
      </c>
      <c r="D29" s="45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61">
        <f t="shared" si="4"/>
        <v>151228</v>
      </c>
    </row>
    <row r="30" customHeight="1" spans="1:24">
      <c r="A30" s="44">
        <v>25</v>
      </c>
      <c r="B30" s="44" t="s">
        <v>25</v>
      </c>
      <c r="C30" s="44">
        <v>49</v>
      </c>
      <c r="D30" s="45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61">
        <f t="shared" si="4"/>
        <v>184500</v>
      </c>
    </row>
    <row r="31" customHeight="1" spans="1:24">
      <c r="A31" s="44">
        <v>26</v>
      </c>
      <c r="B31" s="44" t="s">
        <v>25</v>
      </c>
      <c r="C31" s="44">
        <v>51</v>
      </c>
      <c r="D31" s="45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61">
        <f t="shared" si="4"/>
        <v>126000</v>
      </c>
    </row>
    <row r="32" customHeight="1" spans="1:24">
      <c r="A32" s="44">
        <v>27</v>
      </c>
      <c r="B32" s="44" t="s">
        <v>25</v>
      </c>
      <c r="C32" s="44">
        <v>52</v>
      </c>
      <c r="D32" s="45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61">
        <f t="shared" si="4"/>
        <v>126000</v>
      </c>
    </row>
    <row r="33" customHeight="1" spans="1:24">
      <c r="A33" s="44">
        <v>28</v>
      </c>
      <c r="B33" s="44" t="s">
        <v>43</v>
      </c>
      <c r="C33" s="44">
        <v>54</v>
      </c>
      <c r="D33" s="45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61">
        <f t="shared" si="4"/>
        <v>184500</v>
      </c>
    </row>
    <row r="34" customHeight="1" spans="1:24">
      <c r="A34" s="44">
        <v>29</v>
      </c>
      <c r="B34" s="44" t="s">
        <v>44</v>
      </c>
      <c r="C34" s="44">
        <v>55</v>
      </c>
      <c r="D34" s="45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61">
        <f t="shared" si="4"/>
        <v>2246000</v>
      </c>
    </row>
    <row r="35" customHeight="1" spans="1:24">
      <c r="A35" s="44">
        <v>30</v>
      </c>
      <c r="B35" s="44" t="s">
        <v>45</v>
      </c>
      <c r="C35" s="44">
        <v>56</v>
      </c>
      <c r="D35" s="45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61">
        <f t="shared" si="4"/>
        <v>1491000</v>
      </c>
    </row>
    <row r="36" customHeight="1" spans="1:24">
      <c r="A36" s="44">
        <v>31</v>
      </c>
      <c r="B36" s="44" t="s">
        <v>46</v>
      </c>
      <c r="C36" s="44">
        <v>57</v>
      </c>
      <c r="D36" s="45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61">
        <f t="shared" si="4"/>
        <v>393250</v>
      </c>
    </row>
    <row r="37" customHeight="1" spans="1:25">
      <c r="A37" s="44">
        <v>32</v>
      </c>
      <c r="B37" s="44" t="s">
        <v>47</v>
      </c>
      <c r="C37" s="44">
        <v>59</v>
      </c>
      <c r="D37" s="45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61">
        <f t="shared" si="4"/>
        <v>663454</v>
      </c>
      <c r="Y37" s="62"/>
    </row>
    <row r="38" customHeight="1" spans="1:24">
      <c r="A38" s="44">
        <v>33</v>
      </c>
      <c r="B38" s="44" t="s">
        <v>48</v>
      </c>
      <c r="C38" s="44">
        <v>60</v>
      </c>
      <c r="D38" s="45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61">
        <f t="shared" si="4"/>
        <v>1631704</v>
      </c>
    </row>
    <row r="39" customHeight="1" spans="1:24">
      <c r="A39" s="44">
        <v>34</v>
      </c>
      <c r="B39" s="44" t="s">
        <v>49</v>
      </c>
      <c r="C39" s="44">
        <v>61</v>
      </c>
      <c r="D39" s="45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61">
        <f t="shared" si="4"/>
        <v>425818</v>
      </c>
    </row>
    <row r="40" customHeight="1" spans="1:25">
      <c r="A40" s="44">
        <v>35</v>
      </c>
      <c r="B40" s="44" t="s">
        <v>50</v>
      </c>
      <c r="C40" s="44">
        <v>63</v>
      </c>
      <c r="D40" s="45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61">
        <f t="shared" si="4"/>
        <v>-1875</v>
      </c>
      <c r="Y40" s="4" t="s">
        <v>75</v>
      </c>
    </row>
    <row r="41" customHeight="1" spans="1:25">
      <c r="A41" s="44">
        <v>36</v>
      </c>
      <c r="B41" s="44" t="s">
        <v>51</v>
      </c>
      <c r="C41" s="44">
        <v>64</v>
      </c>
      <c r="D41" s="45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61">
        <f t="shared" si="4"/>
        <v>1</v>
      </c>
      <c r="Y41" s="4" t="s">
        <v>75</v>
      </c>
    </row>
    <row r="42" customHeight="1" spans="1:24">
      <c r="A42" s="44">
        <v>37</v>
      </c>
      <c r="B42" s="44" t="s">
        <v>52</v>
      </c>
      <c r="C42" s="44">
        <v>65</v>
      </c>
      <c r="D42" s="45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61">
        <f t="shared" ref="X42:X47" si="9">D42+Q42+R42+U42+S42-V42+T42</f>
        <v>1383484</v>
      </c>
    </row>
    <row r="43" customHeight="1" spans="1:24">
      <c r="A43" s="44">
        <v>38</v>
      </c>
      <c r="B43" s="44" t="s">
        <v>53</v>
      </c>
      <c r="C43" s="44">
        <v>66</v>
      </c>
      <c r="D43" s="45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61">
        <f t="shared" si="9"/>
        <v>1072800</v>
      </c>
    </row>
    <row r="44" customHeight="1" spans="1:24">
      <c r="A44" s="44">
        <v>39</v>
      </c>
      <c r="B44" s="44" t="s">
        <v>54</v>
      </c>
      <c r="C44" s="44">
        <v>69</v>
      </c>
      <c r="D44" s="45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61">
        <f t="shared" si="9"/>
        <v>2148000</v>
      </c>
    </row>
    <row r="45" customHeight="1" spans="1:24">
      <c r="A45" s="44">
        <v>40</v>
      </c>
      <c r="B45" s="44" t="s">
        <v>55</v>
      </c>
      <c r="C45" s="44">
        <v>70</v>
      </c>
      <c r="D45" s="45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61">
        <f t="shared" si="9"/>
        <v>2006704</v>
      </c>
    </row>
    <row r="46" customHeight="1" spans="1:24">
      <c r="A46" s="44">
        <v>41</v>
      </c>
      <c r="B46" s="44" t="s">
        <v>43</v>
      </c>
      <c r="C46" s="44">
        <v>72</v>
      </c>
      <c r="D46" s="45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61">
        <f t="shared" si="9"/>
        <v>126000</v>
      </c>
    </row>
    <row r="47" customHeight="1" spans="1:25">
      <c r="A47" s="44">
        <v>42</v>
      </c>
      <c r="B47" s="44" t="s">
        <v>56</v>
      </c>
      <c r="C47" s="44">
        <v>74</v>
      </c>
      <c r="D47" s="45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61">
        <f t="shared" si="9"/>
        <v>-68046</v>
      </c>
      <c r="Y47" s="4" t="s">
        <v>75</v>
      </c>
    </row>
    <row r="48" customHeight="1" spans="1:24">
      <c r="A48" s="44">
        <v>43</v>
      </c>
      <c r="B48" s="44" t="s">
        <v>57</v>
      </c>
      <c r="C48" s="44">
        <v>75</v>
      </c>
      <c r="D48" s="45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</v>
      </c>
      <c r="V48" s="8">
        <f t="shared" si="6"/>
        <v>2872500</v>
      </c>
      <c r="W48" s="8">
        <f t="shared" si="8"/>
        <v>400410.38</v>
      </c>
      <c r="X48" s="61">
        <f t="shared" ref="X48:X54" si="10">D48+Q48+R48+U48+S48-V48+T48</f>
        <v>717711.62</v>
      </c>
    </row>
    <row r="49" customHeight="1" spans="1:24">
      <c r="A49" s="44">
        <v>44</v>
      </c>
      <c r="B49" s="44" t="s">
        <v>58</v>
      </c>
      <c r="C49" s="44">
        <v>76</v>
      </c>
      <c r="D49" s="45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61">
        <f t="shared" si="10"/>
        <v>428950</v>
      </c>
    </row>
    <row r="50" customHeight="1" spans="1:24">
      <c r="A50" s="44">
        <v>45</v>
      </c>
      <c r="B50" s="44" t="s">
        <v>59</v>
      </c>
      <c r="C50" s="44">
        <v>81</v>
      </c>
      <c r="D50" s="45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61">
        <f t="shared" si="10"/>
        <v>1765420</v>
      </c>
    </row>
    <row r="51" customHeight="1" spans="1:24">
      <c r="A51" s="44">
        <v>46</v>
      </c>
      <c r="B51" s="44" t="s">
        <v>60</v>
      </c>
      <c r="C51" s="44">
        <v>82</v>
      </c>
      <c r="D51" s="45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61">
        <f t="shared" si="10"/>
        <v>1723500</v>
      </c>
    </row>
    <row r="52" customHeight="1" spans="1:24">
      <c r="A52" s="44">
        <v>47</v>
      </c>
      <c r="B52" s="44" t="s">
        <v>61</v>
      </c>
      <c r="C52" s="44">
        <v>84</v>
      </c>
      <c r="D52" s="45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61">
        <f t="shared" si="10"/>
        <v>3329000</v>
      </c>
    </row>
    <row r="53" customHeight="1" spans="1:24">
      <c r="A53" s="44">
        <v>48</v>
      </c>
      <c r="B53" s="44" t="s">
        <v>62</v>
      </c>
      <c r="C53" s="44">
        <v>87</v>
      </c>
      <c r="D53" s="45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61">
        <f t="shared" si="10"/>
        <v>1109250</v>
      </c>
    </row>
    <row r="54" customHeight="1" spans="1:25">
      <c r="A54" s="44">
        <v>49</v>
      </c>
      <c r="B54" s="44" t="s">
        <v>63</v>
      </c>
      <c r="C54" s="44">
        <v>91</v>
      </c>
      <c r="D54" s="45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61">
        <f t="shared" si="10"/>
        <v>0</v>
      </c>
      <c r="Y54" s="4" t="s">
        <v>75</v>
      </c>
    </row>
    <row r="55" customHeight="1" spans="1:24">
      <c r="A55" s="44"/>
      <c r="B55" s="46" t="s">
        <v>64</v>
      </c>
      <c r="C55" s="46"/>
      <c r="D55" s="47">
        <f>SUM(D6:D54)</f>
        <v>220185500</v>
      </c>
      <c r="E55" s="47">
        <f t="shared" ref="E55:U55" si="11">SUM(E6:E54)</f>
        <v>4580000</v>
      </c>
      <c r="F55" s="47">
        <f t="shared" si="11"/>
        <v>22831620</v>
      </c>
      <c r="G55" s="47">
        <f t="shared" si="11"/>
        <v>35394244</v>
      </c>
      <c r="H55" s="47">
        <f t="shared" si="11"/>
        <v>102507947</v>
      </c>
      <c r="I55" s="47">
        <f t="shared" si="11"/>
        <v>29371175</v>
      </c>
      <c r="J55" s="52">
        <f t="shared" si="11"/>
        <v>28752480</v>
      </c>
      <c r="K55" s="52">
        <f t="shared" si="11"/>
        <v>26375584</v>
      </c>
      <c r="L55" s="53">
        <f t="shared" si="11"/>
        <v>7018250</v>
      </c>
      <c r="M55" s="53">
        <f t="shared" si="11"/>
        <v>6600250</v>
      </c>
      <c r="N55" s="53">
        <f t="shared" si="11"/>
        <v>19629814</v>
      </c>
      <c r="O55" s="53">
        <f t="shared" si="11"/>
        <v>28898000</v>
      </c>
      <c r="P55" s="53">
        <f t="shared" si="11"/>
        <v>7630750</v>
      </c>
      <c r="Q55" s="53">
        <f t="shared" si="11"/>
        <v>1188045</v>
      </c>
      <c r="R55" s="53">
        <f t="shared" si="11"/>
        <v>3533366.52</v>
      </c>
      <c r="S55" s="53">
        <f t="shared" si="11"/>
        <v>5201640</v>
      </c>
      <c r="T55" s="53">
        <f t="shared" ref="T55" si="12">P55*18%</f>
        <v>1373535</v>
      </c>
      <c r="U55" s="52">
        <f t="shared" si="11"/>
        <v>1326692.6</v>
      </c>
      <c r="V55" s="63">
        <f t="shared" si="6"/>
        <v>194684986</v>
      </c>
      <c r="W55" s="63">
        <f>SUM(W6:W54)</f>
        <v>57156578.88</v>
      </c>
      <c r="X55" s="63">
        <f>SUM(X6:X54)</f>
        <v>38123793.12</v>
      </c>
    </row>
    <row r="57" s="3" customFormat="1" customHeight="1" spans="1:24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" right="0.0902777777777778" top="0.448611111111111" bottom="0.578472222222222" header="0.314583333333333" footer="0.314583333333333"/>
  <pageSetup paperSize="1" scale="80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zoomScale="90" zoomScaleNormal="90" workbookViewId="0">
      <pane ySplit="5" topLeftCell="A42" activePane="bottomLeft" state="frozen"/>
      <selection/>
      <selection pane="bottomLeft" activeCell="AB5" sqref="AB5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.712962962963" style="3" hidden="1" customWidth="1"/>
    <col min="6" max="7" width="11.4259259259259" style="3" hidden="1" customWidth="1"/>
    <col min="8" max="8" width="12.4259259259259" style="3" hidden="1" customWidth="1"/>
    <col min="9" max="9" width="12.4259259259259" style="7" hidden="1" customWidth="1"/>
    <col min="10" max="11" width="11.4259259259259" style="6" hidden="1" customWidth="1"/>
    <col min="12" max="12" width="11.4259259259259" style="6" customWidth="1"/>
    <col min="13" max="13" width="11.1388888888889" style="6" hidden="1" customWidth="1"/>
    <col min="14" max="15" width="11.4259259259259" style="6" hidden="1" customWidth="1"/>
    <col min="16" max="16" width="11.4259259259259" style="6" customWidth="1"/>
    <col min="17" max="19" width="11" style="6" hidden="1" customWidth="1"/>
    <col min="20" max="20" width="11" style="6" customWidth="1"/>
    <col min="21" max="21" width="11.8518518518519" style="6" customWidth="1"/>
    <col min="22" max="22" width="14.712962962963" style="8" customWidth="1"/>
    <col min="23" max="23" width="13.5740740740741" style="8" customWidth="1"/>
    <col min="24" max="24" width="13.4259259259259" style="8" customWidth="1"/>
    <col min="25" max="25" width="19.5740740740741" style="4" customWidth="1"/>
    <col min="26" max="26" width="12.4259259259259" style="3" customWidth="1"/>
    <col min="27" max="16384" width="9.13888888888889" style="4"/>
  </cols>
  <sheetData>
    <row r="1" s="1" customFormat="1" customHeight="1" spans="1:26">
      <c r="A1" s="38" t="s">
        <v>0</v>
      </c>
      <c r="B1" s="38"/>
      <c r="C1" s="38"/>
      <c r="D1" s="38"/>
      <c r="E1" s="38"/>
      <c r="F1" s="38"/>
      <c r="G1" s="39"/>
      <c r="H1" s="39"/>
      <c r="I1" s="38"/>
      <c r="J1" s="48"/>
      <c r="K1" s="48"/>
      <c r="L1" s="49"/>
      <c r="M1" s="49"/>
      <c r="N1" s="49"/>
      <c r="O1" s="49"/>
      <c r="P1" s="49"/>
      <c r="Q1" s="54"/>
      <c r="R1" s="49"/>
      <c r="S1" s="49"/>
      <c r="T1" s="49"/>
      <c r="U1" s="48"/>
      <c r="V1" s="55"/>
      <c r="W1" s="56"/>
      <c r="X1" s="57"/>
      <c r="Z1" s="30"/>
    </row>
    <row r="2" s="1" customFormat="1" customHeight="1" spans="1:26">
      <c r="A2" s="38" t="s">
        <v>78</v>
      </c>
      <c r="B2" s="38"/>
      <c r="C2" s="38"/>
      <c r="D2" s="38"/>
      <c r="E2" s="38"/>
      <c r="F2" s="38"/>
      <c r="G2" s="39"/>
      <c r="H2" s="39"/>
      <c r="I2" s="38"/>
      <c r="J2" s="48"/>
      <c r="K2" s="48"/>
      <c r="L2" s="49"/>
      <c r="M2" s="49"/>
      <c r="N2" s="49"/>
      <c r="O2" s="49"/>
      <c r="P2" s="49"/>
      <c r="Q2" s="54"/>
      <c r="R2" s="49"/>
      <c r="S2" s="49"/>
      <c r="T2" s="49"/>
      <c r="U2" s="48"/>
      <c r="V2" s="55"/>
      <c r="W2" s="56"/>
      <c r="X2" s="57"/>
      <c r="Z2" s="30"/>
    </row>
    <row r="3" s="1" customFormat="1" customHeight="1" spans="1:26">
      <c r="A3" s="39" t="s">
        <v>2</v>
      </c>
      <c r="B3" s="39"/>
      <c r="C3" s="39"/>
      <c r="D3" s="39"/>
      <c r="E3" s="39"/>
      <c r="F3" s="39"/>
      <c r="G3" s="39"/>
      <c r="H3" s="39"/>
      <c r="I3" s="38"/>
      <c r="J3" s="48"/>
      <c r="K3" s="48"/>
      <c r="L3" s="49"/>
      <c r="M3" s="49"/>
      <c r="N3" s="49"/>
      <c r="O3" s="49"/>
      <c r="P3" s="49"/>
      <c r="Q3" s="54"/>
      <c r="R3" s="49"/>
      <c r="S3" s="49"/>
      <c r="T3" s="49"/>
      <c r="U3" s="48"/>
      <c r="V3" s="55"/>
      <c r="W3" s="56"/>
      <c r="X3" s="57"/>
      <c r="Z3" s="30"/>
    </row>
    <row r="4" customHeight="1" spans="1:24">
      <c r="A4" s="40"/>
      <c r="B4" s="40"/>
      <c r="C4" s="40"/>
      <c r="D4" s="41"/>
      <c r="E4" s="40"/>
      <c r="F4" s="40"/>
      <c r="G4" s="40"/>
      <c r="H4" s="40"/>
      <c r="I4" s="46"/>
      <c r="J4" s="50"/>
      <c r="K4" s="50"/>
      <c r="L4" s="41"/>
      <c r="M4" s="41"/>
      <c r="N4" s="41"/>
      <c r="O4" s="41"/>
      <c r="P4" s="41"/>
      <c r="Q4" s="41"/>
      <c r="R4" s="41"/>
      <c r="S4" s="41"/>
      <c r="T4" s="41"/>
      <c r="U4" s="58"/>
      <c r="X4" s="59"/>
    </row>
    <row r="5" s="37" customFormat="1" ht="53.25" customHeight="1" spans="1:26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51" t="s">
        <v>68</v>
      </c>
      <c r="J5" s="32" t="s">
        <v>11</v>
      </c>
      <c r="K5" s="32" t="s">
        <v>69</v>
      </c>
      <c r="L5" s="32" t="s">
        <v>70</v>
      </c>
      <c r="M5" s="32" t="s">
        <v>12</v>
      </c>
      <c r="N5" s="32" t="s">
        <v>13</v>
      </c>
      <c r="O5" s="32" t="s">
        <v>14</v>
      </c>
      <c r="P5" s="32" t="s">
        <v>71</v>
      </c>
      <c r="Q5" s="32" t="s">
        <v>15</v>
      </c>
      <c r="R5" s="32" t="s">
        <v>16</v>
      </c>
      <c r="S5" s="32" t="s">
        <v>17</v>
      </c>
      <c r="T5" s="32" t="s">
        <v>72</v>
      </c>
      <c r="U5" s="32" t="s">
        <v>18</v>
      </c>
      <c r="V5" s="60" t="s">
        <v>73</v>
      </c>
      <c r="W5" s="60" t="s">
        <v>20</v>
      </c>
      <c r="X5" s="60" t="s">
        <v>21</v>
      </c>
      <c r="Y5" s="37" t="s">
        <v>74</v>
      </c>
      <c r="Z5" s="43"/>
    </row>
    <row r="6" customHeight="1" spans="1:24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61">
        <f t="shared" ref="X6:X56" si="2">D6+Q6+R6+U6+S6-V6+T6</f>
        <v>76951</v>
      </c>
    </row>
    <row r="7" customHeight="1" spans="1:24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61">
        <f t="shared" si="2"/>
        <v>1293960</v>
      </c>
    </row>
    <row r="8" customHeight="1" spans="1:24">
      <c r="A8" s="44">
        <v>3</v>
      </c>
      <c r="B8" s="44" t="s">
        <v>25</v>
      </c>
      <c r="C8" s="44">
        <v>19</v>
      </c>
      <c r="D8" s="45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61">
        <f t="shared" si="2"/>
        <v>184500</v>
      </c>
    </row>
    <row r="9" customHeight="1" spans="1:24">
      <c r="A9" s="44">
        <v>4</v>
      </c>
      <c r="B9" s="44" t="s">
        <v>26</v>
      </c>
      <c r="C9" s="44">
        <v>21</v>
      </c>
      <c r="D9" s="45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61">
        <f t="shared" si="2"/>
        <v>309824</v>
      </c>
    </row>
    <row r="10" customHeight="1" spans="1:25">
      <c r="A10" s="44">
        <v>5</v>
      </c>
      <c r="B10" s="44" t="s">
        <v>27</v>
      </c>
      <c r="C10" s="44">
        <v>22</v>
      </c>
      <c r="D10" s="45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61">
        <f t="shared" si="2"/>
        <v>-89</v>
      </c>
      <c r="Y10" s="4" t="s">
        <v>75</v>
      </c>
    </row>
    <row r="11" customHeight="1" spans="1:24">
      <c r="A11" s="44">
        <v>6</v>
      </c>
      <c r="B11" s="44" t="s">
        <v>43</v>
      </c>
      <c r="C11" s="44">
        <v>24</v>
      </c>
      <c r="D11" s="45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61">
        <f t="shared" si="2"/>
        <v>252000</v>
      </c>
    </row>
    <row r="12" customHeight="1" spans="1:24">
      <c r="A12" s="44">
        <v>7</v>
      </c>
      <c r="B12" s="44" t="s">
        <v>25</v>
      </c>
      <c r="C12" s="44">
        <v>25</v>
      </c>
      <c r="D12" s="45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61">
        <f t="shared" si="2"/>
        <v>184500</v>
      </c>
    </row>
    <row r="13" customHeight="1" spans="1:24">
      <c r="A13" s="44">
        <v>8</v>
      </c>
      <c r="B13" s="44" t="s">
        <v>28</v>
      </c>
      <c r="C13" s="44">
        <v>29</v>
      </c>
      <c r="D13" s="45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61">
        <f t="shared" si="2"/>
        <v>62500</v>
      </c>
    </row>
    <row r="14" customHeight="1" spans="1:25">
      <c r="A14" s="44">
        <v>9</v>
      </c>
      <c r="B14" s="44" t="s">
        <v>29</v>
      </c>
      <c r="C14" s="44">
        <v>30</v>
      </c>
      <c r="D14" s="45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61">
        <f t="shared" si="2"/>
        <v>0</v>
      </c>
      <c r="Y14" s="4" t="s">
        <v>75</v>
      </c>
    </row>
    <row r="15" customHeight="1" spans="1:24">
      <c r="A15" s="44">
        <v>10</v>
      </c>
      <c r="B15" s="44" t="s">
        <v>30</v>
      </c>
      <c r="C15" s="44">
        <v>31</v>
      </c>
      <c r="D15" s="45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61">
        <f t="shared" si="2"/>
        <v>1105500</v>
      </c>
    </row>
    <row r="16" customHeight="1" spans="1:24">
      <c r="A16" s="44">
        <v>11</v>
      </c>
      <c r="B16" s="44" t="s">
        <v>31</v>
      </c>
      <c r="C16" s="44">
        <v>32</v>
      </c>
      <c r="D16" s="45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61">
        <f t="shared" si="2"/>
        <v>-175606.5</v>
      </c>
    </row>
    <row r="17" customHeight="1" spans="1:25">
      <c r="A17" s="44">
        <v>12</v>
      </c>
      <c r="B17" s="44" t="s">
        <v>32</v>
      </c>
      <c r="C17" s="44">
        <v>33</v>
      </c>
      <c r="D17" s="45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61">
        <f t="shared" si="2"/>
        <v>0</v>
      </c>
      <c r="Y17" s="4" t="s">
        <v>77</v>
      </c>
    </row>
    <row r="18" customHeight="1" spans="1:25">
      <c r="A18" s="44">
        <v>13</v>
      </c>
      <c r="B18" s="44" t="s">
        <v>33</v>
      </c>
      <c r="C18" s="44">
        <v>34</v>
      </c>
      <c r="D18" s="45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61">
        <f t="shared" si="2"/>
        <v>0</v>
      </c>
      <c r="Y18" s="4" t="s">
        <v>75</v>
      </c>
    </row>
    <row r="19" customHeight="1" spans="1:24">
      <c r="A19" s="44">
        <v>14</v>
      </c>
      <c r="B19" s="44" t="s">
        <v>34</v>
      </c>
      <c r="C19" s="44">
        <v>35</v>
      </c>
      <c r="D19" s="45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61">
        <f t="shared" si="2"/>
        <v>391954</v>
      </c>
    </row>
    <row r="20" customHeight="1" spans="1:24">
      <c r="A20" s="44">
        <v>15</v>
      </c>
      <c r="B20" s="44" t="s">
        <v>35</v>
      </c>
      <c r="C20" s="44">
        <v>37</v>
      </c>
      <c r="D20" s="45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61">
        <f t="shared" si="2"/>
        <v>342750</v>
      </c>
    </row>
    <row r="21" customHeight="1" spans="1:24">
      <c r="A21" s="44">
        <v>16</v>
      </c>
      <c r="B21" s="44" t="s">
        <v>36</v>
      </c>
      <c r="C21" s="44">
        <v>38</v>
      </c>
      <c r="D21" s="45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61">
        <f t="shared" si="2"/>
        <v>1335500</v>
      </c>
    </row>
    <row r="22" customHeight="1" spans="1:24">
      <c r="A22" s="44">
        <v>17</v>
      </c>
      <c r="B22" s="44" t="s">
        <v>37</v>
      </c>
      <c r="C22" s="44">
        <v>39</v>
      </c>
      <c r="D22" s="45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61">
        <f t="shared" si="2"/>
        <v>1011125</v>
      </c>
    </row>
    <row r="23" customHeight="1" spans="1:24">
      <c r="A23" s="44">
        <v>18</v>
      </c>
      <c r="B23" s="44" t="s">
        <v>38</v>
      </c>
      <c r="C23" s="44">
        <v>40</v>
      </c>
      <c r="D23" s="45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61">
        <f t="shared" si="2"/>
        <v>1968480</v>
      </c>
    </row>
    <row r="24" customHeight="1" spans="1:24">
      <c r="A24" s="44">
        <v>19</v>
      </c>
      <c r="B24" s="44" t="s">
        <v>39</v>
      </c>
      <c r="C24" s="44">
        <v>41</v>
      </c>
      <c r="D24" s="45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61">
        <f t="shared" si="2"/>
        <v>450779</v>
      </c>
    </row>
    <row r="25" customHeight="1" spans="1:24">
      <c r="A25" s="44">
        <v>20</v>
      </c>
      <c r="B25" s="44" t="s">
        <v>25</v>
      </c>
      <c r="C25" s="44">
        <v>42</v>
      </c>
      <c r="D25" s="45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61">
        <f t="shared" si="2"/>
        <v>526000</v>
      </c>
    </row>
    <row r="26" customHeight="1" spans="1:24">
      <c r="A26" s="44">
        <v>21</v>
      </c>
      <c r="B26" s="44" t="s">
        <v>25</v>
      </c>
      <c r="C26" s="44">
        <v>43</v>
      </c>
      <c r="D26" s="45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61">
        <f t="shared" si="2"/>
        <v>184500</v>
      </c>
    </row>
    <row r="27" customHeight="1" spans="1:24">
      <c r="A27" s="44">
        <v>22</v>
      </c>
      <c r="B27" s="44" t="s">
        <v>25</v>
      </c>
      <c r="C27" s="44">
        <v>45</v>
      </c>
      <c r="D27" s="45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61">
        <f t="shared" si="2"/>
        <v>252000</v>
      </c>
    </row>
    <row r="28" customHeight="1" spans="1:24">
      <c r="A28" s="44">
        <v>23</v>
      </c>
      <c r="B28" s="44" t="s">
        <v>79</v>
      </c>
      <c r="C28" s="44">
        <v>45</v>
      </c>
      <c r="D28" s="45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61">
        <f t="shared" si="2"/>
        <v>8075000</v>
      </c>
    </row>
    <row r="29" customHeight="1" spans="1:24">
      <c r="A29" s="44">
        <v>24</v>
      </c>
      <c r="B29" s="44" t="s">
        <v>40</v>
      </c>
      <c r="C29" s="44">
        <v>46</v>
      </c>
      <c r="D29" s="45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61">
        <f t="shared" si="2"/>
        <v>2147000</v>
      </c>
    </row>
    <row r="30" customHeight="1" spans="1:24">
      <c r="A30" s="44">
        <v>25</v>
      </c>
      <c r="B30" s="44" t="s">
        <v>41</v>
      </c>
      <c r="C30" s="44">
        <v>48</v>
      </c>
      <c r="D30" s="45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61">
        <f t="shared" si="2"/>
        <v>151228</v>
      </c>
    </row>
    <row r="31" customHeight="1" spans="1:24">
      <c r="A31" s="44">
        <v>26</v>
      </c>
      <c r="B31" s="44" t="s">
        <v>25</v>
      </c>
      <c r="C31" s="44">
        <v>49</v>
      </c>
      <c r="D31" s="45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61">
        <f t="shared" si="2"/>
        <v>184500</v>
      </c>
    </row>
    <row r="32" customHeight="1" spans="1:24">
      <c r="A32" s="44">
        <v>27</v>
      </c>
      <c r="B32" s="44" t="s">
        <v>25</v>
      </c>
      <c r="C32" s="44">
        <v>51</v>
      </c>
      <c r="D32" s="45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61">
        <f t="shared" si="2"/>
        <v>126000</v>
      </c>
    </row>
    <row r="33" customHeight="1" spans="1:24">
      <c r="A33" s="44">
        <v>28</v>
      </c>
      <c r="B33" s="44" t="s">
        <v>25</v>
      </c>
      <c r="C33" s="44">
        <v>52</v>
      </c>
      <c r="D33" s="45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61">
        <f t="shared" si="2"/>
        <v>126000</v>
      </c>
    </row>
    <row r="34" customHeight="1" spans="1:24">
      <c r="A34" s="44">
        <v>29</v>
      </c>
      <c r="B34" s="44" t="s">
        <v>43</v>
      </c>
      <c r="C34" s="44">
        <v>54</v>
      </c>
      <c r="D34" s="45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61">
        <f t="shared" si="2"/>
        <v>184500</v>
      </c>
    </row>
    <row r="35" customHeight="1" spans="1:24">
      <c r="A35" s="44">
        <v>30</v>
      </c>
      <c r="B35" s="44" t="s">
        <v>44</v>
      </c>
      <c r="C35" s="44">
        <v>55</v>
      </c>
      <c r="D35" s="45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61">
        <f t="shared" si="2"/>
        <v>2246000</v>
      </c>
    </row>
    <row r="36" customHeight="1" spans="1:24">
      <c r="A36" s="44">
        <v>31</v>
      </c>
      <c r="B36" s="44" t="s">
        <v>45</v>
      </c>
      <c r="C36" s="44">
        <v>56</v>
      </c>
      <c r="D36" s="45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61">
        <f t="shared" si="2"/>
        <v>976500</v>
      </c>
    </row>
    <row r="37" customHeight="1" spans="1:24">
      <c r="A37" s="44">
        <v>32</v>
      </c>
      <c r="B37" s="44" t="s">
        <v>46</v>
      </c>
      <c r="C37" s="44">
        <v>57</v>
      </c>
      <c r="D37" s="45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61">
        <f t="shared" si="2"/>
        <v>123250</v>
      </c>
    </row>
    <row r="38" customHeight="1" spans="1:25">
      <c r="A38" s="44">
        <v>33</v>
      </c>
      <c r="B38" s="44" t="s">
        <v>47</v>
      </c>
      <c r="C38" s="44">
        <v>59</v>
      </c>
      <c r="D38" s="45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61">
        <f t="shared" si="2"/>
        <v>663454</v>
      </c>
      <c r="Y38" s="62"/>
    </row>
    <row r="39" customHeight="1" spans="1:24">
      <c r="A39" s="44">
        <v>34</v>
      </c>
      <c r="B39" s="44" t="s">
        <v>48</v>
      </c>
      <c r="C39" s="44">
        <v>60</v>
      </c>
      <c r="D39" s="45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61">
        <f t="shared" si="2"/>
        <v>831704</v>
      </c>
    </row>
    <row r="40" customHeight="1" spans="1:24">
      <c r="A40" s="44">
        <v>35</v>
      </c>
      <c r="B40" s="44" t="s">
        <v>49</v>
      </c>
      <c r="C40" s="44">
        <v>61</v>
      </c>
      <c r="D40" s="45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61">
        <f t="shared" si="2"/>
        <v>425818</v>
      </c>
    </row>
    <row r="41" customHeight="1" spans="1:25">
      <c r="A41" s="44">
        <v>36</v>
      </c>
      <c r="B41" s="44" t="s">
        <v>50</v>
      </c>
      <c r="C41" s="44">
        <v>63</v>
      </c>
      <c r="D41" s="45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61">
        <f t="shared" si="2"/>
        <v>0</v>
      </c>
      <c r="Y41" s="4" t="s">
        <v>75</v>
      </c>
    </row>
    <row r="42" customHeight="1" spans="1:25">
      <c r="A42" s="44">
        <v>37</v>
      </c>
      <c r="B42" s="44" t="s">
        <v>51</v>
      </c>
      <c r="C42" s="44">
        <v>64</v>
      </c>
      <c r="D42" s="45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61">
        <f t="shared" si="2"/>
        <v>1</v>
      </c>
      <c r="Y42" s="4" t="s">
        <v>75</v>
      </c>
    </row>
    <row r="43" customHeight="1" spans="1:24">
      <c r="A43" s="44">
        <v>38</v>
      </c>
      <c r="B43" s="44" t="s">
        <v>52</v>
      </c>
      <c r="C43" s="44">
        <v>65</v>
      </c>
      <c r="D43" s="45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61">
        <f t="shared" si="2"/>
        <v>1383484</v>
      </c>
    </row>
    <row r="44" customHeight="1" spans="1:24">
      <c r="A44" s="44">
        <v>39</v>
      </c>
      <c r="B44" s="44" t="s">
        <v>53</v>
      </c>
      <c r="C44" s="44">
        <v>66</v>
      </c>
      <c r="D44" s="45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61">
        <f t="shared" si="2"/>
        <v>1072800</v>
      </c>
    </row>
    <row r="45" customHeight="1" spans="1:24">
      <c r="A45" s="44">
        <v>40</v>
      </c>
      <c r="B45" s="44" t="s">
        <v>54</v>
      </c>
      <c r="C45" s="44">
        <v>69</v>
      </c>
      <c r="D45" s="45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61">
        <f t="shared" si="2"/>
        <v>2148000</v>
      </c>
    </row>
    <row r="46" customHeight="1" spans="1:24">
      <c r="A46" s="44">
        <v>41</v>
      </c>
      <c r="B46" s="44" t="s">
        <v>55</v>
      </c>
      <c r="C46" s="44">
        <v>70</v>
      </c>
      <c r="D46" s="45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61">
        <f t="shared" si="2"/>
        <v>2006704</v>
      </c>
    </row>
    <row r="47" customHeight="1" spans="1:24">
      <c r="A47" s="44">
        <v>42</v>
      </c>
      <c r="B47" s="44" t="s">
        <v>43</v>
      </c>
      <c r="C47" s="44">
        <v>72</v>
      </c>
      <c r="D47" s="45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61">
        <f t="shared" si="2"/>
        <v>126000</v>
      </c>
    </row>
    <row r="48" customHeight="1" spans="1:24">
      <c r="A48" s="44">
        <v>43</v>
      </c>
      <c r="B48" s="44" t="s">
        <v>40</v>
      </c>
      <c r="C48" s="44">
        <v>72</v>
      </c>
      <c r="D48" s="45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61">
        <f t="shared" si="2"/>
        <v>7475000</v>
      </c>
    </row>
    <row r="49" customHeight="1" spans="1:25">
      <c r="A49" s="44">
        <v>44</v>
      </c>
      <c r="B49" s="44" t="s">
        <v>56</v>
      </c>
      <c r="C49" s="44">
        <v>74</v>
      </c>
      <c r="D49" s="45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61">
        <f t="shared" si="2"/>
        <v>0</v>
      </c>
      <c r="Y49" s="4" t="s">
        <v>75</v>
      </c>
    </row>
    <row r="50" customHeight="1" spans="1:24">
      <c r="A50" s="44">
        <v>45</v>
      </c>
      <c r="B50" s="44" t="s">
        <v>57</v>
      </c>
      <c r="C50" s="44">
        <v>75</v>
      </c>
      <c r="D50" s="45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</v>
      </c>
      <c r="V50" s="8">
        <f t="shared" si="1"/>
        <v>2872500</v>
      </c>
      <c r="W50" s="8">
        <f t="shared" si="3"/>
        <v>400410.38</v>
      </c>
      <c r="X50" s="61">
        <f t="shared" si="2"/>
        <v>717711.62</v>
      </c>
    </row>
    <row r="51" customHeight="1" spans="1:24">
      <c r="A51" s="44">
        <v>46</v>
      </c>
      <c r="B51" s="44" t="s">
        <v>58</v>
      </c>
      <c r="C51" s="44">
        <v>76</v>
      </c>
      <c r="D51" s="45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61">
        <f t="shared" si="2"/>
        <v>428950</v>
      </c>
    </row>
    <row r="52" customHeight="1" spans="1:24">
      <c r="A52" s="44">
        <v>47</v>
      </c>
      <c r="B52" s="44" t="s">
        <v>59</v>
      </c>
      <c r="C52" s="44">
        <v>81</v>
      </c>
      <c r="D52" s="45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61">
        <f t="shared" si="2"/>
        <v>964680</v>
      </c>
    </row>
    <row r="53" customHeight="1" spans="1:24">
      <c r="A53" s="44">
        <v>48</v>
      </c>
      <c r="B53" s="44" t="s">
        <v>60</v>
      </c>
      <c r="C53" s="44">
        <v>82</v>
      </c>
      <c r="D53" s="45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61">
        <f t="shared" si="2"/>
        <v>822000</v>
      </c>
    </row>
    <row r="54" customHeight="1" spans="1:24">
      <c r="A54" s="44">
        <v>49</v>
      </c>
      <c r="B54" s="44" t="s">
        <v>61</v>
      </c>
      <c r="C54" s="44">
        <v>84</v>
      </c>
      <c r="D54" s="45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61">
        <f t="shared" si="2"/>
        <v>1829000</v>
      </c>
    </row>
    <row r="55" customHeight="1" spans="1:24">
      <c r="A55" s="44">
        <v>50</v>
      </c>
      <c r="B55" s="44" t="s">
        <v>62</v>
      </c>
      <c r="C55" s="44">
        <v>87</v>
      </c>
      <c r="D55" s="45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61">
        <f t="shared" si="2"/>
        <v>1109250</v>
      </c>
    </row>
    <row r="56" customHeight="1" spans="1:25">
      <c r="A56" s="44">
        <v>51</v>
      </c>
      <c r="B56" s="44" t="s">
        <v>63</v>
      </c>
      <c r="C56" s="44">
        <v>91</v>
      </c>
      <c r="D56" s="45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61">
        <f t="shared" si="2"/>
        <v>0</v>
      </c>
      <c r="Y56" s="4" t="s">
        <v>75</v>
      </c>
    </row>
    <row r="57" customHeight="1" spans="1:24">
      <c r="A57" s="44"/>
      <c r="B57" s="46" t="s">
        <v>64</v>
      </c>
      <c r="C57" s="46"/>
      <c r="D57" s="47">
        <f>SUM(D6:D56)</f>
        <v>235785500</v>
      </c>
      <c r="E57" s="47">
        <f t="shared" ref="E57:U57" si="6">SUM(E6:E56)</f>
        <v>4580000</v>
      </c>
      <c r="F57" s="47">
        <f t="shared" si="6"/>
        <v>22831620</v>
      </c>
      <c r="G57" s="47">
        <f t="shared" si="6"/>
        <v>35394244</v>
      </c>
      <c r="H57" s="47">
        <f t="shared" si="6"/>
        <v>102507947</v>
      </c>
      <c r="I57" s="47">
        <f t="shared" si="6"/>
        <v>37592513</v>
      </c>
      <c r="J57" s="52">
        <f t="shared" si="6"/>
        <v>28752480</v>
      </c>
      <c r="K57" s="52">
        <f t="shared" si="6"/>
        <v>26375584</v>
      </c>
      <c r="L57" s="53">
        <f t="shared" si="6"/>
        <v>11280000</v>
      </c>
      <c r="M57" s="53">
        <f t="shared" si="6"/>
        <v>6600250</v>
      </c>
      <c r="N57" s="53">
        <f t="shared" si="6"/>
        <v>19629814</v>
      </c>
      <c r="O57" s="53">
        <f t="shared" si="6"/>
        <v>28898000</v>
      </c>
      <c r="P57" s="53">
        <f t="shared" si="6"/>
        <v>11280000</v>
      </c>
      <c r="Q57" s="53">
        <f t="shared" si="6"/>
        <v>1188045</v>
      </c>
      <c r="R57" s="53">
        <f t="shared" si="6"/>
        <v>3533366.52</v>
      </c>
      <c r="S57" s="53">
        <f t="shared" si="6"/>
        <v>5201640</v>
      </c>
      <c r="T57" s="53">
        <f t="shared" si="5"/>
        <v>2030400</v>
      </c>
      <c r="U57" s="52">
        <f t="shared" si="6"/>
        <v>1269034.6</v>
      </c>
      <c r="V57" s="63">
        <f t="shared" si="1"/>
        <v>202906324</v>
      </c>
      <c r="W57" s="63">
        <f>SUM(W6:W56)</f>
        <v>56722910.88</v>
      </c>
      <c r="X57" s="63">
        <f>SUM(X6:X56)</f>
        <v>46101662.12</v>
      </c>
    </row>
    <row r="59" s="3" customFormat="1" customHeight="1" spans="1:24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" right="0.0902777777777778" top="0.448611111111111" bottom="0.578472222222222" header="0.314583333333333" footer="0.314583333333333"/>
  <pageSetup paperSize="1" scale="80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zoomScale="90" zoomScaleNormal="90" workbookViewId="0">
      <pane ySplit="5" topLeftCell="A6" activePane="bottomLeft" state="frozen"/>
      <selection/>
      <selection pane="bottomLeft" activeCell="B65" sqref="B65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.712962962963" style="3" hidden="1" customWidth="1"/>
    <col min="6" max="7" width="11.4259259259259" style="3" hidden="1" customWidth="1"/>
    <col min="8" max="8" width="12.4259259259259" style="3" hidden="1" customWidth="1"/>
    <col min="9" max="9" width="12.4259259259259" style="7" hidden="1" customWidth="1"/>
    <col min="10" max="11" width="11.4259259259259" style="6" hidden="1" customWidth="1"/>
    <col min="12" max="12" width="11.4259259259259" style="6" customWidth="1"/>
    <col min="13" max="13" width="11.1388888888889" style="6" hidden="1" customWidth="1"/>
    <col min="14" max="15" width="11.4259259259259" style="6" hidden="1" customWidth="1"/>
    <col min="16" max="16" width="11.4259259259259" style="6" customWidth="1"/>
    <col min="17" max="19" width="11" style="6" hidden="1" customWidth="1"/>
    <col min="20" max="20" width="11" style="6" customWidth="1"/>
    <col min="21" max="21" width="11.8518518518519" style="6" customWidth="1"/>
    <col min="22" max="22" width="14.712962962963" style="8" customWidth="1"/>
    <col min="23" max="23" width="13.5740740740741" style="8" customWidth="1"/>
    <col min="24" max="24" width="13.4259259259259" style="8" customWidth="1"/>
    <col min="25" max="25" width="19.5740740740741" style="4" customWidth="1"/>
    <col min="26" max="26" width="12.4259259259259" style="3" customWidth="1"/>
    <col min="27" max="16384" width="9.13888888888889" style="4"/>
  </cols>
  <sheetData>
    <row r="1" s="1" customFormat="1" customHeight="1" spans="1:26">
      <c r="A1" s="38" t="s">
        <v>0</v>
      </c>
      <c r="B1" s="38"/>
      <c r="C1" s="38"/>
      <c r="D1" s="38"/>
      <c r="E1" s="38"/>
      <c r="F1" s="38"/>
      <c r="G1" s="39"/>
      <c r="H1" s="39"/>
      <c r="I1" s="38"/>
      <c r="J1" s="48"/>
      <c r="K1" s="48"/>
      <c r="L1" s="49"/>
      <c r="M1" s="49"/>
      <c r="N1" s="49"/>
      <c r="O1" s="49"/>
      <c r="P1" s="49"/>
      <c r="Q1" s="54"/>
      <c r="R1" s="49"/>
      <c r="S1" s="49"/>
      <c r="T1" s="49"/>
      <c r="U1" s="48"/>
      <c r="V1" s="55"/>
      <c r="W1" s="56"/>
      <c r="X1" s="57"/>
      <c r="Z1" s="30"/>
    </row>
    <row r="2" s="1" customFormat="1" customHeight="1" spans="1:26">
      <c r="A2" s="38" t="s">
        <v>80</v>
      </c>
      <c r="B2" s="38"/>
      <c r="C2" s="38"/>
      <c r="D2" s="38"/>
      <c r="E2" s="38"/>
      <c r="F2" s="38"/>
      <c r="G2" s="39"/>
      <c r="H2" s="39"/>
      <c r="I2" s="38"/>
      <c r="J2" s="48"/>
      <c r="K2" s="48"/>
      <c r="L2" s="49"/>
      <c r="M2" s="49"/>
      <c r="N2" s="49"/>
      <c r="O2" s="49"/>
      <c r="P2" s="49"/>
      <c r="Q2" s="54"/>
      <c r="R2" s="49"/>
      <c r="S2" s="49"/>
      <c r="T2" s="49"/>
      <c r="U2" s="48"/>
      <c r="V2" s="55"/>
      <c r="W2" s="56"/>
      <c r="X2" s="57"/>
      <c r="Z2" s="30"/>
    </row>
    <row r="3" s="1" customFormat="1" customHeight="1" spans="1:26">
      <c r="A3" s="39" t="s">
        <v>2</v>
      </c>
      <c r="B3" s="39"/>
      <c r="C3" s="39"/>
      <c r="D3" s="39"/>
      <c r="E3" s="39"/>
      <c r="F3" s="39"/>
      <c r="G3" s="39"/>
      <c r="H3" s="39"/>
      <c r="I3" s="38"/>
      <c r="J3" s="48"/>
      <c r="K3" s="48"/>
      <c r="L3" s="49"/>
      <c r="M3" s="49"/>
      <c r="N3" s="49"/>
      <c r="O3" s="49"/>
      <c r="P3" s="49"/>
      <c r="Q3" s="54"/>
      <c r="R3" s="49"/>
      <c r="S3" s="49"/>
      <c r="T3" s="49"/>
      <c r="U3" s="48"/>
      <c r="V3" s="55"/>
      <c r="W3" s="56"/>
      <c r="X3" s="57"/>
      <c r="Z3" s="30"/>
    </row>
    <row r="4" customHeight="1" spans="1:24">
      <c r="A4" s="40"/>
      <c r="B4" s="40"/>
      <c r="C4" s="40"/>
      <c r="D4" s="41"/>
      <c r="E4" s="40"/>
      <c r="F4" s="40"/>
      <c r="G4" s="40"/>
      <c r="H4" s="40"/>
      <c r="I4" s="46"/>
      <c r="J4" s="50"/>
      <c r="K4" s="50"/>
      <c r="L4" s="41"/>
      <c r="M4" s="41"/>
      <c r="N4" s="41"/>
      <c r="O4" s="41"/>
      <c r="P4" s="41"/>
      <c r="Q4" s="41"/>
      <c r="R4" s="41"/>
      <c r="S4" s="41"/>
      <c r="T4" s="41"/>
      <c r="U4" s="58"/>
      <c r="X4" s="59"/>
    </row>
    <row r="5" s="37" customFormat="1" ht="53.25" customHeight="1" spans="1:26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51" t="s">
        <v>68</v>
      </c>
      <c r="J5" s="32" t="s">
        <v>11</v>
      </c>
      <c r="K5" s="32" t="s">
        <v>69</v>
      </c>
      <c r="L5" s="32" t="s">
        <v>70</v>
      </c>
      <c r="M5" s="32" t="s">
        <v>12</v>
      </c>
      <c r="N5" s="32" t="s">
        <v>13</v>
      </c>
      <c r="O5" s="32" t="s">
        <v>14</v>
      </c>
      <c r="P5" s="32" t="s">
        <v>71</v>
      </c>
      <c r="Q5" s="32" t="s">
        <v>15</v>
      </c>
      <c r="R5" s="32" t="s">
        <v>16</v>
      </c>
      <c r="S5" s="32" t="s">
        <v>17</v>
      </c>
      <c r="T5" s="32" t="s">
        <v>72</v>
      </c>
      <c r="U5" s="32" t="s">
        <v>18</v>
      </c>
      <c r="V5" s="60" t="s">
        <v>73</v>
      </c>
      <c r="W5" s="60" t="s">
        <v>20</v>
      </c>
      <c r="X5" s="60" t="s">
        <v>21</v>
      </c>
      <c r="Y5" s="37" t="s">
        <v>74</v>
      </c>
      <c r="Z5" s="43"/>
    </row>
    <row r="6" customHeight="1" spans="1:24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61">
        <f t="shared" ref="X6:X57" si="2">D6+Q6+R6+U6+S6-V6+T6</f>
        <v>230954</v>
      </c>
    </row>
    <row r="7" customHeight="1" spans="1:24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61">
        <f t="shared" si="2"/>
        <v>1378200</v>
      </c>
    </row>
    <row r="8" customHeight="1" spans="1:24">
      <c r="A8" s="44"/>
      <c r="B8" s="44" t="s">
        <v>40</v>
      </c>
      <c r="C8" s="44">
        <v>18</v>
      </c>
      <c r="D8" s="45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61">
        <f t="shared" si="2"/>
        <v>4975000</v>
      </c>
    </row>
    <row r="9" customHeight="1" spans="1:24">
      <c r="A9" s="44">
        <v>3</v>
      </c>
      <c r="B9" s="44" t="s">
        <v>25</v>
      </c>
      <c r="C9" s="44">
        <v>19</v>
      </c>
      <c r="D9" s="45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61">
        <f t="shared" si="2"/>
        <v>184500</v>
      </c>
    </row>
    <row r="10" customHeight="1" spans="1:24">
      <c r="A10" s="44">
        <v>4</v>
      </c>
      <c r="B10" s="44" t="s">
        <v>26</v>
      </c>
      <c r="C10" s="44">
        <v>21</v>
      </c>
      <c r="D10" s="45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61">
        <f t="shared" si="2"/>
        <v>309824</v>
      </c>
    </row>
    <row r="11" customHeight="1" spans="1:25">
      <c r="A11" s="44">
        <v>5</v>
      </c>
      <c r="B11" s="44" t="s">
        <v>27</v>
      </c>
      <c r="C11" s="44">
        <v>22</v>
      </c>
      <c r="D11" s="45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61">
        <f t="shared" si="2"/>
        <v>0</v>
      </c>
      <c r="Y11" s="4" t="s">
        <v>75</v>
      </c>
    </row>
    <row r="12" customHeight="1" spans="1:24">
      <c r="A12" s="44">
        <v>6</v>
      </c>
      <c r="B12" s="44" t="s">
        <v>43</v>
      </c>
      <c r="C12" s="44">
        <v>24</v>
      </c>
      <c r="D12" s="45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61">
        <f t="shared" si="2"/>
        <v>52000</v>
      </c>
    </row>
    <row r="13" customHeight="1" spans="1:24">
      <c r="A13" s="44">
        <v>7</v>
      </c>
      <c r="B13" s="44" t="s">
        <v>25</v>
      </c>
      <c r="C13" s="44">
        <v>25</v>
      </c>
      <c r="D13" s="45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61">
        <f t="shared" si="2"/>
        <v>184500</v>
      </c>
    </row>
    <row r="14" customHeight="1" spans="1:24">
      <c r="A14" s="44">
        <v>8</v>
      </c>
      <c r="B14" s="44" t="s">
        <v>28</v>
      </c>
      <c r="C14" s="44">
        <v>29</v>
      </c>
      <c r="D14" s="45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61">
        <f t="shared" si="2"/>
        <v>62500</v>
      </c>
    </row>
    <row r="15" customHeight="1" spans="1:25">
      <c r="A15" s="44">
        <v>9</v>
      </c>
      <c r="B15" s="44" t="s">
        <v>29</v>
      </c>
      <c r="C15" s="44">
        <v>30</v>
      </c>
      <c r="D15" s="45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61">
        <f t="shared" si="2"/>
        <v>0</v>
      </c>
      <c r="Y15" s="4" t="s">
        <v>75</v>
      </c>
    </row>
    <row r="16" customHeight="1" spans="1:24">
      <c r="A16" s="44">
        <v>10</v>
      </c>
      <c r="B16" s="44" t="s">
        <v>30</v>
      </c>
      <c r="C16" s="44">
        <v>31</v>
      </c>
      <c r="D16" s="45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61">
        <f t="shared" si="2"/>
        <v>1105500</v>
      </c>
    </row>
    <row r="17" customHeight="1" spans="1:24">
      <c r="A17" s="44">
        <v>11</v>
      </c>
      <c r="B17" s="44" t="s">
        <v>31</v>
      </c>
      <c r="C17" s="44">
        <v>32</v>
      </c>
      <c r="D17" s="45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61">
        <f t="shared" si="2"/>
        <v>36832.5</v>
      </c>
    </row>
    <row r="18" s="3" customFormat="1" customHeight="1" spans="1:25">
      <c r="A18" s="44">
        <v>12</v>
      </c>
      <c r="B18" s="44" t="s">
        <v>32</v>
      </c>
      <c r="C18" s="44">
        <v>33</v>
      </c>
      <c r="D18" s="45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61">
        <f t="shared" si="2"/>
        <v>0</v>
      </c>
      <c r="Y18" s="4" t="s">
        <v>77</v>
      </c>
    </row>
    <row r="19" s="3" customFormat="1" customHeight="1" spans="1:25">
      <c r="A19" s="44">
        <v>13</v>
      </c>
      <c r="B19" s="44" t="s">
        <v>33</v>
      </c>
      <c r="C19" s="44">
        <v>34</v>
      </c>
      <c r="D19" s="45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61">
        <f t="shared" si="2"/>
        <v>0</v>
      </c>
      <c r="Y19" s="4" t="s">
        <v>75</v>
      </c>
    </row>
    <row r="20" s="3" customFormat="1" customHeight="1" spans="1:25">
      <c r="A20" s="44">
        <v>14</v>
      </c>
      <c r="B20" s="44" t="s">
        <v>34</v>
      </c>
      <c r="C20" s="44">
        <v>35</v>
      </c>
      <c r="D20" s="45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61">
        <f t="shared" si="2"/>
        <v>391954</v>
      </c>
      <c r="Y20" s="4"/>
    </row>
    <row r="21" s="3" customFormat="1" customHeight="1" spans="1:25">
      <c r="A21" s="44">
        <v>15</v>
      </c>
      <c r="B21" s="44" t="s">
        <v>35</v>
      </c>
      <c r="C21" s="44">
        <v>37</v>
      </c>
      <c r="D21" s="45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61">
        <f t="shared" si="2"/>
        <v>342750</v>
      </c>
      <c r="Y21" s="4"/>
    </row>
    <row r="22" s="3" customFormat="1" customHeight="1" spans="1:25">
      <c r="A22" s="44">
        <v>16</v>
      </c>
      <c r="B22" s="44" t="s">
        <v>36</v>
      </c>
      <c r="C22" s="44">
        <v>38</v>
      </c>
      <c r="D22" s="45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61">
        <f t="shared" si="2"/>
        <v>1335500</v>
      </c>
      <c r="Y22" s="4"/>
    </row>
    <row r="23" s="3" customFormat="1" customHeight="1" spans="1:25">
      <c r="A23" s="44">
        <v>17</v>
      </c>
      <c r="B23" s="44" t="s">
        <v>37</v>
      </c>
      <c r="C23" s="44">
        <v>39</v>
      </c>
      <c r="D23" s="45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61">
        <f t="shared" si="2"/>
        <v>1011125</v>
      </c>
      <c r="Y23" s="4"/>
    </row>
    <row r="24" s="3" customFormat="1" customHeight="1" spans="1:25">
      <c r="A24" s="44">
        <v>18</v>
      </c>
      <c r="B24" s="44" t="s">
        <v>38</v>
      </c>
      <c r="C24" s="44">
        <v>40</v>
      </c>
      <c r="D24" s="45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61">
        <f t="shared" si="2"/>
        <v>2093220</v>
      </c>
      <c r="Y24" s="4"/>
    </row>
    <row r="25" s="3" customFormat="1" customHeight="1" spans="1:25">
      <c r="A25" s="44">
        <v>19</v>
      </c>
      <c r="B25" s="44" t="s">
        <v>39</v>
      </c>
      <c r="C25" s="44">
        <v>41</v>
      </c>
      <c r="D25" s="45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61">
        <f t="shared" si="2"/>
        <v>450779</v>
      </c>
      <c r="Y25" s="4"/>
    </row>
    <row r="26" s="3" customFormat="1" customHeight="1" spans="1:25">
      <c r="A26" s="44">
        <v>20</v>
      </c>
      <c r="B26" s="44" t="s">
        <v>25</v>
      </c>
      <c r="C26" s="44">
        <v>42</v>
      </c>
      <c r="D26" s="45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61">
        <f t="shared" si="2"/>
        <v>252000</v>
      </c>
      <c r="Y26" s="4"/>
    </row>
    <row r="27" s="3" customFormat="1" customHeight="1" spans="1:25">
      <c r="A27" s="44">
        <v>21</v>
      </c>
      <c r="B27" s="44" t="s">
        <v>25</v>
      </c>
      <c r="C27" s="44">
        <v>43</v>
      </c>
      <c r="D27" s="45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61">
        <f t="shared" si="2"/>
        <v>184500</v>
      </c>
      <c r="Y27" s="4"/>
    </row>
    <row r="28" s="3" customFormat="1" customHeight="1" spans="1:25">
      <c r="A28" s="44">
        <v>22</v>
      </c>
      <c r="B28" s="44" t="s">
        <v>25</v>
      </c>
      <c r="C28" s="44">
        <v>45</v>
      </c>
      <c r="D28" s="45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61">
        <f t="shared" si="2"/>
        <v>252000</v>
      </c>
      <c r="Y28" s="4"/>
    </row>
    <row r="29" s="3" customFormat="1" customHeight="1" spans="1:25">
      <c r="A29" s="44">
        <v>23</v>
      </c>
      <c r="B29" s="44" t="s">
        <v>79</v>
      </c>
      <c r="C29" s="44">
        <v>45</v>
      </c>
      <c r="D29" s="45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61">
        <f t="shared" si="2"/>
        <v>6160000</v>
      </c>
      <c r="Y29" s="4"/>
    </row>
    <row r="30" s="3" customFormat="1" customHeight="1" spans="1:25">
      <c r="A30" s="44">
        <v>24</v>
      </c>
      <c r="B30" s="44" t="s">
        <v>40</v>
      </c>
      <c r="C30" s="44">
        <v>46</v>
      </c>
      <c r="D30" s="45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61">
        <f t="shared" si="2"/>
        <v>2147000</v>
      </c>
      <c r="Y30" s="4"/>
    </row>
    <row r="31" s="3" customFormat="1" customHeight="1" spans="1:25">
      <c r="A31" s="44">
        <v>25</v>
      </c>
      <c r="B31" s="44" t="s">
        <v>41</v>
      </c>
      <c r="C31" s="44">
        <v>48</v>
      </c>
      <c r="D31" s="45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61">
        <f t="shared" si="2"/>
        <v>151228</v>
      </c>
      <c r="Y31" s="4"/>
    </row>
    <row r="32" s="3" customFormat="1" customHeight="1" spans="1:25">
      <c r="A32" s="44">
        <v>26</v>
      </c>
      <c r="B32" s="44" t="s">
        <v>25</v>
      </c>
      <c r="C32" s="44">
        <v>49</v>
      </c>
      <c r="D32" s="45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61">
        <f t="shared" si="2"/>
        <v>276750</v>
      </c>
      <c r="Y32" s="4"/>
    </row>
    <row r="33" s="3" customFormat="1" customHeight="1" spans="1:25">
      <c r="A33" s="44">
        <v>27</v>
      </c>
      <c r="B33" s="44" t="s">
        <v>25</v>
      </c>
      <c r="C33" s="44">
        <v>51</v>
      </c>
      <c r="D33" s="45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61">
        <f t="shared" si="2"/>
        <v>252000</v>
      </c>
      <c r="Y33" s="4"/>
    </row>
    <row r="34" s="3" customFormat="1" customHeight="1" spans="1:25">
      <c r="A34" s="44">
        <v>28</v>
      </c>
      <c r="B34" s="44" t="s">
        <v>25</v>
      </c>
      <c r="C34" s="44">
        <v>52</v>
      </c>
      <c r="D34" s="45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61">
        <f t="shared" si="2"/>
        <v>252000</v>
      </c>
      <c r="Y34" s="4"/>
    </row>
    <row r="35" s="3" customFormat="1" customHeight="1" spans="1:25">
      <c r="A35" s="44">
        <v>29</v>
      </c>
      <c r="B35" s="44" t="s">
        <v>43</v>
      </c>
      <c r="C35" s="44">
        <v>54</v>
      </c>
      <c r="D35" s="45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61">
        <f t="shared" si="2"/>
        <v>-15500</v>
      </c>
      <c r="Y35" s="4"/>
    </row>
    <row r="36" s="3" customFormat="1" customHeight="1" spans="1:25">
      <c r="A36" s="44">
        <v>30</v>
      </c>
      <c r="B36" s="44" t="s">
        <v>44</v>
      </c>
      <c r="C36" s="44">
        <v>55</v>
      </c>
      <c r="D36" s="45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61">
        <f t="shared" si="2"/>
        <v>2367500</v>
      </c>
      <c r="Y36" s="4"/>
    </row>
    <row r="37" s="3" customFormat="1" customHeight="1" spans="1:25">
      <c r="A37" s="44">
        <v>31</v>
      </c>
      <c r="B37" s="44" t="s">
        <v>45</v>
      </c>
      <c r="C37" s="44">
        <v>56</v>
      </c>
      <c r="D37" s="45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61">
        <f t="shared" si="2"/>
        <v>976500</v>
      </c>
      <c r="Y37" s="4"/>
    </row>
    <row r="38" s="3" customFormat="1" customHeight="1" spans="1:25">
      <c r="A38" s="44">
        <v>32</v>
      </c>
      <c r="B38" s="44" t="s">
        <v>46</v>
      </c>
      <c r="C38" s="44">
        <v>57</v>
      </c>
      <c r="D38" s="45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61">
        <f t="shared" si="2"/>
        <v>150965</v>
      </c>
      <c r="Y38" s="4"/>
    </row>
    <row r="39" s="3" customFormat="1" customHeight="1" spans="1:25">
      <c r="A39" s="44">
        <v>33</v>
      </c>
      <c r="B39" s="44" t="s">
        <v>47</v>
      </c>
      <c r="C39" s="44">
        <v>59</v>
      </c>
      <c r="D39" s="45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61">
        <f t="shared" si="2"/>
        <v>363454</v>
      </c>
      <c r="Y39" s="62"/>
    </row>
    <row r="40" s="3" customFormat="1" customHeight="1" spans="1:25">
      <c r="A40" s="44">
        <v>34</v>
      </c>
      <c r="B40" s="44" t="s">
        <v>48</v>
      </c>
      <c r="C40" s="44">
        <v>60</v>
      </c>
      <c r="D40" s="45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61">
        <f t="shared" si="2"/>
        <v>896954</v>
      </c>
      <c r="Y40" s="4"/>
    </row>
    <row r="41" s="3" customFormat="1" customHeight="1" spans="1:25">
      <c r="A41" s="44">
        <v>35</v>
      </c>
      <c r="B41" s="44" t="s">
        <v>49</v>
      </c>
      <c r="C41" s="44">
        <v>61</v>
      </c>
      <c r="D41" s="45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61">
        <f t="shared" si="2"/>
        <v>425818</v>
      </c>
      <c r="Y41" s="4"/>
    </row>
    <row r="42" s="3" customFormat="1" customHeight="1" spans="1:25">
      <c r="A42" s="44">
        <v>36</v>
      </c>
      <c r="B42" s="44" t="s">
        <v>50</v>
      </c>
      <c r="C42" s="44">
        <v>63</v>
      </c>
      <c r="D42" s="45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61">
        <f t="shared" si="2"/>
        <v>0</v>
      </c>
      <c r="Y42" s="4" t="s">
        <v>75</v>
      </c>
    </row>
    <row r="43" s="3" customFormat="1" customHeight="1" spans="1:25">
      <c r="A43" s="44">
        <v>37</v>
      </c>
      <c r="B43" s="44" t="s">
        <v>51</v>
      </c>
      <c r="C43" s="44">
        <v>64</v>
      </c>
      <c r="D43" s="45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61">
        <f t="shared" si="2"/>
        <v>1</v>
      </c>
      <c r="Y43" s="4" t="s">
        <v>75</v>
      </c>
    </row>
    <row r="44" s="3" customFormat="1" customHeight="1" spans="1:25">
      <c r="A44" s="44">
        <v>38</v>
      </c>
      <c r="B44" s="44" t="s">
        <v>52</v>
      </c>
      <c r="C44" s="44">
        <v>65</v>
      </c>
      <c r="D44" s="45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61">
        <f t="shared" si="2"/>
        <v>1383484</v>
      </c>
      <c r="Y44" s="4"/>
    </row>
    <row r="45" s="3" customFormat="1" customHeight="1" spans="1:25">
      <c r="A45" s="44">
        <v>39</v>
      </c>
      <c r="B45" s="44" t="s">
        <v>53</v>
      </c>
      <c r="C45" s="44">
        <v>66</v>
      </c>
      <c r="D45" s="45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61">
        <f t="shared" si="2"/>
        <v>72800</v>
      </c>
      <c r="Y45" s="4"/>
    </row>
    <row r="46" s="3" customFormat="1" customHeight="1" spans="1:25">
      <c r="A46" s="44">
        <v>40</v>
      </c>
      <c r="B46" s="44" t="s">
        <v>54</v>
      </c>
      <c r="C46" s="44">
        <v>69</v>
      </c>
      <c r="D46" s="45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61">
        <f t="shared" si="2"/>
        <v>1048000</v>
      </c>
      <c r="Y46" s="4"/>
    </row>
    <row r="47" s="3" customFormat="1" customHeight="1" spans="1:25">
      <c r="A47" s="44">
        <v>41</v>
      </c>
      <c r="B47" s="44" t="s">
        <v>55</v>
      </c>
      <c r="C47" s="44">
        <v>70</v>
      </c>
      <c r="D47" s="45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61">
        <f t="shared" si="2"/>
        <v>2006704</v>
      </c>
      <c r="Y47" s="4"/>
    </row>
    <row r="48" s="3" customFormat="1" customHeight="1" spans="1:25">
      <c r="A48" s="44">
        <v>42</v>
      </c>
      <c r="B48" s="44" t="s">
        <v>43</v>
      </c>
      <c r="C48" s="44">
        <v>72</v>
      </c>
      <c r="D48" s="45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61">
        <f t="shared" si="2"/>
        <v>-74000</v>
      </c>
      <c r="Y48" s="4"/>
    </row>
    <row r="49" s="3" customFormat="1" customHeight="1" spans="1:25">
      <c r="A49" s="44">
        <v>43</v>
      </c>
      <c r="B49" s="44" t="s">
        <v>40</v>
      </c>
      <c r="C49" s="44">
        <v>72</v>
      </c>
      <c r="D49" s="45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61">
        <f t="shared" si="2"/>
        <v>7475000</v>
      </c>
      <c r="Y49" s="4"/>
    </row>
    <row r="50" s="3" customFormat="1" customHeight="1" spans="1:25">
      <c r="A50" s="44">
        <v>44</v>
      </c>
      <c r="B50" s="44" t="s">
        <v>56</v>
      </c>
      <c r="C50" s="44">
        <v>74</v>
      </c>
      <c r="D50" s="45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61">
        <f t="shared" si="2"/>
        <v>0</v>
      </c>
      <c r="Y50" s="4" t="s">
        <v>75</v>
      </c>
    </row>
    <row r="51" s="3" customFormat="1" customHeight="1" spans="1:25">
      <c r="A51" s="44">
        <v>45</v>
      </c>
      <c r="B51" s="44" t="s">
        <v>57</v>
      </c>
      <c r="C51" s="44">
        <v>75</v>
      </c>
      <c r="D51" s="45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</v>
      </c>
      <c r="V51" s="8">
        <f t="shared" si="1"/>
        <v>2872500</v>
      </c>
      <c r="W51" s="8">
        <f t="shared" si="3"/>
        <v>400410.38</v>
      </c>
      <c r="X51" s="61">
        <f t="shared" si="2"/>
        <v>717711.62</v>
      </c>
      <c r="Y51" s="4"/>
    </row>
    <row r="52" s="3" customFormat="1" customHeight="1" spans="1:25">
      <c r="A52" s="44">
        <v>46</v>
      </c>
      <c r="B52" s="44" t="s">
        <v>58</v>
      </c>
      <c r="C52" s="44">
        <v>76</v>
      </c>
      <c r="D52" s="45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61">
        <f t="shared" si="2"/>
        <v>-98040</v>
      </c>
      <c r="Y52" s="4"/>
    </row>
    <row r="53" s="3" customFormat="1" customHeight="1" spans="1:25">
      <c r="A53" s="44">
        <v>47</v>
      </c>
      <c r="B53" s="44" t="s">
        <v>59</v>
      </c>
      <c r="C53" s="44">
        <v>81</v>
      </c>
      <c r="D53" s="45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61">
        <f t="shared" si="2"/>
        <v>964680</v>
      </c>
      <c r="Y53" s="4"/>
    </row>
    <row r="54" s="3" customFormat="1" customHeight="1" spans="1:25">
      <c r="A54" s="44">
        <v>48</v>
      </c>
      <c r="B54" s="44" t="s">
        <v>60</v>
      </c>
      <c r="C54" s="44">
        <v>82</v>
      </c>
      <c r="D54" s="45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61">
        <f t="shared" si="2"/>
        <v>943500</v>
      </c>
      <c r="Y54" s="4"/>
    </row>
    <row r="55" s="3" customFormat="1" customHeight="1" spans="1:25">
      <c r="A55" s="44">
        <v>49</v>
      </c>
      <c r="B55" s="44" t="s">
        <v>61</v>
      </c>
      <c r="C55" s="44">
        <v>84</v>
      </c>
      <c r="D55" s="45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61">
        <f t="shared" si="2"/>
        <v>1923500</v>
      </c>
      <c r="Y55" s="4"/>
    </row>
    <row r="56" s="3" customFormat="1" customHeight="1" spans="1:25">
      <c r="A56" s="44">
        <v>50</v>
      </c>
      <c r="B56" s="44" t="s">
        <v>62</v>
      </c>
      <c r="C56" s="44">
        <v>87</v>
      </c>
      <c r="D56" s="45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61">
        <f t="shared" si="2"/>
        <v>1109250</v>
      </c>
      <c r="Y56" s="4"/>
    </row>
    <row r="57" s="3" customFormat="1" customHeight="1" spans="1:25">
      <c r="A57" s="44">
        <v>51</v>
      </c>
      <c r="B57" s="44" t="s">
        <v>63</v>
      </c>
      <c r="C57" s="44">
        <v>91</v>
      </c>
      <c r="D57" s="45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61">
        <f t="shared" si="2"/>
        <v>0</v>
      </c>
      <c r="Y57" s="4" t="s">
        <v>75</v>
      </c>
    </row>
    <row r="58" s="3" customFormat="1" customHeight="1" spans="1:25">
      <c r="A58" s="44"/>
      <c r="B58" s="46" t="s">
        <v>64</v>
      </c>
      <c r="C58" s="46"/>
      <c r="D58" s="47">
        <f>SUM(D6:D57)</f>
        <v>243285500</v>
      </c>
      <c r="E58" s="47">
        <f t="shared" ref="E58:U58" si="6">SUM(E6:E57)</f>
        <v>4580000</v>
      </c>
      <c r="F58" s="47">
        <f t="shared" si="6"/>
        <v>22831620</v>
      </c>
      <c r="G58" s="47">
        <f t="shared" si="6"/>
        <v>35394244</v>
      </c>
      <c r="H58" s="47">
        <f t="shared" si="6"/>
        <v>102507947</v>
      </c>
      <c r="I58" s="47">
        <f t="shared" si="6"/>
        <v>46066128</v>
      </c>
      <c r="J58" s="52">
        <f t="shared" si="6"/>
        <v>28752480</v>
      </c>
      <c r="K58" s="52">
        <f t="shared" si="6"/>
        <v>26375584</v>
      </c>
      <c r="L58" s="53">
        <f t="shared" si="6"/>
        <v>17865168</v>
      </c>
      <c r="M58" s="53">
        <f t="shared" si="6"/>
        <v>6600250</v>
      </c>
      <c r="N58" s="53">
        <f t="shared" si="6"/>
        <v>19629814</v>
      </c>
      <c r="O58" s="53">
        <f t="shared" si="6"/>
        <v>28898000</v>
      </c>
      <c r="P58" s="53">
        <f t="shared" si="6"/>
        <v>18311250</v>
      </c>
      <c r="Q58" s="53">
        <f t="shared" si="6"/>
        <v>1188045</v>
      </c>
      <c r="R58" s="53">
        <f t="shared" si="6"/>
        <v>3533366.52</v>
      </c>
      <c r="S58" s="53">
        <f t="shared" si="6"/>
        <v>5201640</v>
      </c>
      <c r="T58" s="53">
        <f t="shared" si="5"/>
        <v>3296025</v>
      </c>
      <c r="U58" s="52">
        <f t="shared" si="6"/>
        <v>1586260.6</v>
      </c>
      <c r="V58" s="63">
        <f t="shared" si="1"/>
        <v>211379939</v>
      </c>
      <c r="W58" s="63">
        <f>SUM(W6:W57)</f>
        <v>50142055.88</v>
      </c>
      <c r="X58" s="63">
        <f>SUM(X6:X57)</f>
        <v>46710898.12</v>
      </c>
      <c r="Y58" s="4"/>
    </row>
    <row r="60" s="3" customFormat="1" customHeight="1" spans="1:24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" right="0.0902777777777778" top="0.448611111111111" bottom="0.578472222222222" header="0.314583333333333" footer="0.314583333333333"/>
  <pageSetup paperSize="1" scale="80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1"/>
  <sheetViews>
    <sheetView zoomScale="90" zoomScaleNormal="90" topLeftCell="B1" workbookViewId="0">
      <pane ySplit="5" topLeftCell="A6" activePane="bottomLeft" state="frozen"/>
      <selection/>
      <selection pane="bottomLeft" activeCell="I9" sqref="I9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" style="3" hidden="1" customWidth="1"/>
    <col min="6" max="7" width="11.4259259259259" style="3" hidden="1" customWidth="1"/>
    <col min="8" max="8" width="12.4259259259259" style="3" hidden="1" customWidth="1"/>
    <col min="9" max="9" width="11.4259259259259" style="7" customWidth="1"/>
    <col min="10" max="11" width="11.4259259259259" style="6" hidden="1" customWidth="1"/>
    <col min="12" max="12" width="11.4259259259259" style="6" customWidth="1"/>
    <col min="13" max="13" width="11.1388888888889" style="6" hidden="1" customWidth="1"/>
    <col min="14" max="15" width="11.4259259259259" style="6" hidden="1" customWidth="1"/>
    <col min="16" max="16" width="11.4259259259259" style="6" customWidth="1"/>
    <col min="17" max="19" width="11" style="6" hidden="1" customWidth="1"/>
    <col min="20" max="20" width="11" style="6" customWidth="1"/>
    <col min="21" max="21" width="11.8518518518519" style="6" customWidth="1"/>
    <col min="22" max="22" width="13.712962962963" style="8" customWidth="1"/>
    <col min="23" max="23" width="13.5740740740741" style="8" customWidth="1"/>
    <col min="24" max="24" width="13.4259259259259" style="8" customWidth="1"/>
    <col min="25" max="25" width="19.5740740740741" style="4" customWidth="1"/>
    <col min="26" max="26" width="12.4259259259259" style="3" customWidth="1"/>
    <col min="27" max="16384" width="9.13888888888889" style="4"/>
  </cols>
  <sheetData>
    <row r="1" s="1" customFormat="1" customHeight="1" spans="1:26">
      <c r="A1" s="38" t="s">
        <v>0</v>
      </c>
      <c r="B1" s="38"/>
      <c r="C1" s="38"/>
      <c r="D1" s="38"/>
      <c r="E1" s="38"/>
      <c r="F1" s="38"/>
      <c r="G1" s="39"/>
      <c r="H1" s="39"/>
      <c r="I1" s="38"/>
      <c r="J1" s="48"/>
      <c r="K1" s="48"/>
      <c r="L1" s="49"/>
      <c r="M1" s="49"/>
      <c r="N1" s="49"/>
      <c r="O1" s="49"/>
      <c r="P1" s="49"/>
      <c r="Q1" s="54"/>
      <c r="R1" s="49"/>
      <c r="S1" s="49"/>
      <c r="T1" s="49"/>
      <c r="U1" s="48"/>
      <c r="V1" s="55"/>
      <c r="W1" s="56"/>
      <c r="X1" s="57"/>
      <c r="Z1" s="30"/>
    </row>
    <row r="2" s="1" customFormat="1" customHeight="1" spans="1:26">
      <c r="A2" s="38" t="s">
        <v>81</v>
      </c>
      <c r="B2" s="38"/>
      <c r="C2" s="38"/>
      <c r="D2" s="38"/>
      <c r="E2" s="38"/>
      <c r="F2" s="38"/>
      <c r="G2" s="39"/>
      <c r="H2" s="39"/>
      <c r="I2" s="38"/>
      <c r="J2" s="48"/>
      <c r="K2" s="48"/>
      <c r="L2" s="49"/>
      <c r="M2" s="49"/>
      <c r="N2" s="49"/>
      <c r="O2" s="49"/>
      <c r="P2" s="49"/>
      <c r="Q2" s="54"/>
      <c r="R2" s="49"/>
      <c r="S2" s="49"/>
      <c r="T2" s="49"/>
      <c r="U2" s="48"/>
      <c r="V2" s="55"/>
      <c r="W2" s="56"/>
      <c r="X2" s="57"/>
      <c r="Z2" s="30"/>
    </row>
    <row r="3" s="1" customFormat="1" customHeight="1" spans="1:26">
      <c r="A3" s="39" t="s">
        <v>2</v>
      </c>
      <c r="B3" s="39"/>
      <c r="C3" s="39"/>
      <c r="D3" s="39"/>
      <c r="E3" s="39"/>
      <c r="F3" s="39"/>
      <c r="G3" s="39"/>
      <c r="H3" s="39"/>
      <c r="I3" s="38"/>
      <c r="J3" s="48"/>
      <c r="K3" s="48"/>
      <c r="L3" s="49"/>
      <c r="M3" s="49"/>
      <c r="N3" s="49"/>
      <c r="O3" s="49"/>
      <c r="P3" s="49"/>
      <c r="Q3" s="54"/>
      <c r="R3" s="49"/>
      <c r="S3" s="49"/>
      <c r="T3" s="49"/>
      <c r="U3" s="48"/>
      <c r="V3" s="55"/>
      <c r="W3" s="56"/>
      <c r="X3" s="57"/>
      <c r="Z3" s="30"/>
    </row>
    <row r="4" customHeight="1" spans="1:24">
      <c r="A4" s="40"/>
      <c r="B4" s="40"/>
      <c r="C4" s="40"/>
      <c r="D4" s="41"/>
      <c r="E4" s="40"/>
      <c r="F4" s="40"/>
      <c r="G4" s="40"/>
      <c r="H4" s="40"/>
      <c r="I4" s="46"/>
      <c r="J4" s="50"/>
      <c r="K4" s="50"/>
      <c r="L4" s="41"/>
      <c r="M4" s="41"/>
      <c r="N4" s="41"/>
      <c r="O4" s="41"/>
      <c r="P4" s="41"/>
      <c r="Q4" s="41"/>
      <c r="R4" s="41"/>
      <c r="S4" s="41"/>
      <c r="T4" s="41"/>
      <c r="U4" s="58"/>
      <c r="X4" s="59"/>
    </row>
    <row r="5" s="37" customFormat="1" ht="53.25" customHeight="1" spans="1:26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51" t="s">
        <v>68</v>
      </c>
      <c r="J5" s="32" t="s">
        <v>11</v>
      </c>
      <c r="K5" s="32" t="s">
        <v>69</v>
      </c>
      <c r="L5" s="32" t="s">
        <v>70</v>
      </c>
      <c r="M5" s="32" t="s">
        <v>12</v>
      </c>
      <c r="N5" s="32" t="s">
        <v>13</v>
      </c>
      <c r="O5" s="32" t="s">
        <v>14</v>
      </c>
      <c r="P5" s="32" t="s">
        <v>71</v>
      </c>
      <c r="Q5" s="32" t="s">
        <v>15</v>
      </c>
      <c r="R5" s="32" t="s">
        <v>16</v>
      </c>
      <c r="S5" s="32" t="s">
        <v>17</v>
      </c>
      <c r="T5" s="32" t="s">
        <v>72</v>
      </c>
      <c r="U5" s="32" t="s">
        <v>18</v>
      </c>
      <c r="V5" s="60" t="s">
        <v>73</v>
      </c>
      <c r="W5" s="60" t="s">
        <v>20</v>
      </c>
      <c r="X5" s="60" t="s">
        <v>21</v>
      </c>
      <c r="Y5" s="37" t="s">
        <v>74</v>
      </c>
      <c r="Z5" s="43"/>
    </row>
    <row r="6" customHeight="1" spans="1:24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61">
        <f t="shared" ref="X6:X49" si="3">D6+Q6+R6+U6+S6-V6+T6</f>
        <v>230954</v>
      </c>
    </row>
    <row r="7" customHeight="1" spans="1:24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61">
        <f t="shared" si="3"/>
        <v>1378200</v>
      </c>
    </row>
    <row r="8" customHeight="1" spans="1:24">
      <c r="A8" s="44">
        <v>3</v>
      </c>
      <c r="B8" s="44" t="s">
        <v>40</v>
      </c>
      <c r="C8" s="44">
        <v>18</v>
      </c>
      <c r="D8" s="45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61">
        <f t="shared" si="3"/>
        <v>4975000</v>
      </c>
    </row>
    <row r="9" customHeight="1" spans="1:24">
      <c r="A9" s="44">
        <v>4</v>
      </c>
      <c r="B9" s="44" t="s">
        <v>25</v>
      </c>
      <c r="C9" s="44">
        <v>19</v>
      </c>
      <c r="D9" s="45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61">
        <f t="shared" si="3"/>
        <v>184500</v>
      </c>
    </row>
    <row r="10" customHeight="1" spans="1:24">
      <c r="A10" s="44">
        <v>5</v>
      </c>
      <c r="B10" s="44" t="s">
        <v>26</v>
      </c>
      <c r="C10" s="44">
        <v>21</v>
      </c>
      <c r="D10" s="45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61">
        <f t="shared" si="3"/>
        <v>309824</v>
      </c>
    </row>
    <row r="11" customHeight="1" spans="1:25">
      <c r="A11" s="44">
        <v>6</v>
      </c>
      <c r="B11" s="44" t="s">
        <v>27</v>
      </c>
      <c r="C11" s="44">
        <v>22</v>
      </c>
      <c r="D11" s="45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61">
        <f t="shared" si="3"/>
        <v>0</v>
      </c>
      <c r="Y11" s="4" t="s">
        <v>75</v>
      </c>
    </row>
    <row r="12" customHeight="1" spans="1:24">
      <c r="A12" s="44">
        <v>7</v>
      </c>
      <c r="B12" s="44" t="s">
        <v>43</v>
      </c>
      <c r="C12" s="44">
        <v>24</v>
      </c>
      <c r="D12" s="45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61">
        <f t="shared" si="3"/>
        <v>52000</v>
      </c>
    </row>
    <row r="13" customHeight="1" spans="1:24">
      <c r="A13" s="44">
        <v>8</v>
      </c>
      <c r="B13" s="44" t="s">
        <v>25</v>
      </c>
      <c r="C13" s="44">
        <v>25</v>
      </c>
      <c r="D13" s="45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61">
        <f t="shared" si="3"/>
        <v>184500</v>
      </c>
    </row>
    <row r="14" customHeight="1" spans="1:24">
      <c r="A14" s="44">
        <v>9</v>
      </c>
      <c r="B14" s="44" t="s">
        <v>28</v>
      </c>
      <c r="C14" s="44">
        <v>29</v>
      </c>
      <c r="D14" s="45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61">
        <f t="shared" si="3"/>
        <v>71704</v>
      </c>
    </row>
    <row r="15" customHeight="1" spans="1:25">
      <c r="A15" s="44">
        <v>10</v>
      </c>
      <c r="B15" s="44" t="s">
        <v>29</v>
      </c>
      <c r="C15" s="44">
        <v>30</v>
      </c>
      <c r="D15" s="45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61">
        <f t="shared" si="3"/>
        <v>0</v>
      </c>
      <c r="Y15" s="4" t="s">
        <v>75</v>
      </c>
    </row>
    <row r="16" customHeight="1" spans="1:24">
      <c r="A16" s="44">
        <v>11</v>
      </c>
      <c r="B16" s="44" t="s">
        <v>30</v>
      </c>
      <c r="C16" s="44">
        <v>31</v>
      </c>
      <c r="D16" s="45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61">
        <f t="shared" si="3"/>
        <v>1105500</v>
      </c>
    </row>
    <row r="17" customHeight="1" spans="1:25">
      <c r="A17" s="44">
        <v>12</v>
      </c>
      <c r="B17" s="44" t="s">
        <v>31</v>
      </c>
      <c r="C17" s="44">
        <v>32</v>
      </c>
      <c r="D17" s="45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61">
        <f t="shared" si="3"/>
        <v>36832.5</v>
      </c>
      <c r="Y17" s="4" t="s">
        <v>75</v>
      </c>
    </row>
    <row r="18" s="3" customFormat="1" customHeight="1" spans="1:25">
      <c r="A18" s="44">
        <v>13</v>
      </c>
      <c r="B18" s="44" t="s">
        <v>32</v>
      </c>
      <c r="C18" s="44">
        <v>33</v>
      </c>
      <c r="D18" s="45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61">
        <f t="shared" si="3"/>
        <v>0</v>
      </c>
      <c r="Y18" s="4" t="s">
        <v>77</v>
      </c>
    </row>
    <row r="19" s="3" customFormat="1" customHeight="1" spans="1:25">
      <c r="A19" s="44">
        <v>14</v>
      </c>
      <c r="B19" s="44" t="s">
        <v>33</v>
      </c>
      <c r="C19" s="44">
        <v>34</v>
      </c>
      <c r="D19" s="45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61">
        <f t="shared" si="3"/>
        <v>0</v>
      </c>
      <c r="Y19" s="4" t="s">
        <v>75</v>
      </c>
    </row>
    <row r="20" s="3" customFormat="1" customHeight="1" spans="1:25">
      <c r="A20" s="44">
        <v>15</v>
      </c>
      <c r="B20" s="44" t="s">
        <v>34</v>
      </c>
      <c r="C20" s="44">
        <v>35</v>
      </c>
      <c r="D20" s="45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61">
        <f t="shared" si="3"/>
        <v>391954</v>
      </c>
      <c r="Y20" s="4"/>
    </row>
    <row r="21" s="3" customFormat="1" customHeight="1" spans="1:25">
      <c r="A21" s="44">
        <v>16</v>
      </c>
      <c r="B21" s="44" t="s">
        <v>35</v>
      </c>
      <c r="C21" s="44">
        <v>37</v>
      </c>
      <c r="D21" s="45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61">
        <f t="shared" si="3"/>
        <v>342750</v>
      </c>
      <c r="Y21" s="4"/>
    </row>
    <row r="22" s="3" customFormat="1" customHeight="1" spans="1:25">
      <c r="A22" s="44">
        <v>17</v>
      </c>
      <c r="B22" s="44" t="s">
        <v>36</v>
      </c>
      <c r="C22" s="44">
        <v>38</v>
      </c>
      <c r="D22" s="45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61">
        <f t="shared" si="3"/>
        <v>1335500</v>
      </c>
      <c r="Y22" s="4"/>
    </row>
    <row r="23" s="3" customFormat="1" customHeight="1" spans="1:25">
      <c r="A23" s="44">
        <v>18</v>
      </c>
      <c r="B23" s="44" t="s">
        <v>37</v>
      </c>
      <c r="C23" s="44">
        <v>39</v>
      </c>
      <c r="D23" s="45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61">
        <f t="shared" si="3"/>
        <v>761125</v>
      </c>
      <c r="Y23" s="4"/>
    </row>
    <row r="24" s="3" customFormat="1" customHeight="1" spans="1:25">
      <c r="A24" s="44">
        <v>19</v>
      </c>
      <c r="B24" s="44" t="s">
        <v>38</v>
      </c>
      <c r="C24" s="44">
        <v>40</v>
      </c>
      <c r="D24" s="45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61">
        <f t="shared" si="3"/>
        <v>2093220</v>
      </c>
      <c r="Y24" s="4"/>
    </row>
    <row r="25" s="3" customFormat="1" customHeight="1" spans="1:25">
      <c r="A25" s="44">
        <v>20</v>
      </c>
      <c r="B25" s="44" t="s">
        <v>39</v>
      </c>
      <c r="C25" s="44">
        <v>41</v>
      </c>
      <c r="D25" s="45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61">
        <f t="shared" si="3"/>
        <v>0</v>
      </c>
      <c r="Y25" s="4" t="s">
        <v>75</v>
      </c>
    </row>
    <row r="26" s="3" customFormat="1" customHeight="1" spans="1:25">
      <c r="A26" s="44">
        <v>21</v>
      </c>
      <c r="B26" s="44" t="s">
        <v>25</v>
      </c>
      <c r="C26" s="44">
        <v>42</v>
      </c>
      <c r="D26" s="45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61">
        <f t="shared" si="3"/>
        <v>252000</v>
      </c>
      <c r="Y26" s="4"/>
    </row>
    <row r="27" s="3" customFormat="1" customHeight="1" spans="1:25">
      <c r="A27" s="44">
        <v>22</v>
      </c>
      <c r="B27" s="44" t="s">
        <v>25</v>
      </c>
      <c r="C27" s="44">
        <v>43</v>
      </c>
      <c r="D27" s="45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61">
        <f t="shared" si="3"/>
        <v>184500</v>
      </c>
      <c r="Y27" s="4"/>
    </row>
    <row r="28" s="3" customFormat="1" customHeight="1" spans="1:25">
      <c r="A28" s="44">
        <v>23</v>
      </c>
      <c r="B28" s="44" t="s">
        <v>25</v>
      </c>
      <c r="C28" s="44">
        <v>45</v>
      </c>
      <c r="D28" s="45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61">
        <f t="shared" si="3"/>
        <v>252000</v>
      </c>
      <c r="Y28" s="4"/>
    </row>
    <row r="29" s="3" customFormat="1" customHeight="1" spans="1:25">
      <c r="A29" s="44">
        <v>24</v>
      </c>
      <c r="B29" s="44" t="s">
        <v>82</v>
      </c>
      <c r="C29" s="44">
        <v>45</v>
      </c>
      <c r="D29" s="45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61">
        <f t="shared" si="3"/>
        <v>6160000</v>
      </c>
      <c r="Y29" s="4" t="s">
        <v>83</v>
      </c>
    </row>
    <row r="30" s="3" customFormat="1" customHeight="1" spans="1:25">
      <c r="A30" s="44">
        <v>25</v>
      </c>
      <c r="B30" s="44" t="s">
        <v>40</v>
      </c>
      <c r="C30" s="44">
        <v>46</v>
      </c>
      <c r="D30" s="45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61">
        <f t="shared" si="3"/>
        <v>2147000</v>
      </c>
      <c r="Y30" s="4"/>
    </row>
    <row r="31" s="3" customFormat="1" customHeight="1" spans="1:25">
      <c r="A31" s="44">
        <v>26</v>
      </c>
      <c r="B31" s="44" t="s">
        <v>41</v>
      </c>
      <c r="C31" s="44">
        <v>48</v>
      </c>
      <c r="D31" s="45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61">
        <f t="shared" si="3"/>
        <v>-48772</v>
      </c>
      <c r="Y31" s="4"/>
    </row>
    <row r="32" s="3" customFormat="1" customHeight="1" spans="1:25">
      <c r="A32" s="44">
        <v>27</v>
      </c>
      <c r="B32" s="44" t="s">
        <v>25</v>
      </c>
      <c r="C32" s="44">
        <v>49</v>
      </c>
      <c r="D32" s="45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61">
        <f t="shared" si="3"/>
        <v>276750</v>
      </c>
      <c r="Y32" s="4"/>
    </row>
    <row r="33" s="3" customFormat="1" customHeight="1" spans="1:25">
      <c r="A33" s="44">
        <v>28</v>
      </c>
      <c r="B33" s="44" t="s">
        <v>25</v>
      </c>
      <c r="C33" s="44">
        <v>51</v>
      </c>
      <c r="D33" s="45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61">
        <f t="shared" si="3"/>
        <v>252000</v>
      </c>
      <c r="Y33" s="4"/>
    </row>
    <row r="34" s="3" customFormat="1" customHeight="1" spans="1:25">
      <c r="A34" s="44">
        <v>29</v>
      </c>
      <c r="B34" s="44" t="s">
        <v>25</v>
      </c>
      <c r="C34" s="44">
        <v>52</v>
      </c>
      <c r="D34" s="45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61">
        <f t="shared" si="3"/>
        <v>252000</v>
      </c>
      <c r="Y34" s="4"/>
    </row>
    <row r="35" s="3" customFormat="1" customHeight="1" spans="1:25">
      <c r="A35" s="44">
        <v>30</v>
      </c>
      <c r="B35" s="44" t="s">
        <v>43</v>
      </c>
      <c r="C35" s="44">
        <v>54</v>
      </c>
      <c r="D35" s="45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61">
        <f t="shared" si="3"/>
        <v>-15500</v>
      </c>
      <c r="Y35" s="4"/>
    </row>
    <row r="36" s="3" customFormat="1" customHeight="1" spans="1:25">
      <c r="A36" s="44">
        <v>31</v>
      </c>
      <c r="B36" s="44" t="s">
        <v>44</v>
      </c>
      <c r="C36" s="44">
        <v>55</v>
      </c>
      <c r="D36" s="45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61">
        <f t="shared" si="3"/>
        <v>2367500</v>
      </c>
      <c r="Y36" s="4"/>
    </row>
    <row r="37" s="3" customFormat="1" customHeight="1" spans="1:25">
      <c r="A37" s="44">
        <v>32</v>
      </c>
      <c r="B37" s="44" t="s">
        <v>45</v>
      </c>
      <c r="C37" s="44">
        <v>56</v>
      </c>
      <c r="D37" s="45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61">
        <f t="shared" si="3"/>
        <v>976500</v>
      </c>
      <c r="Y37" s="4"/>
    </row>
    <row r="38" s="3" customFormat="1" customHeight="1" spans="1:25">
      <c r="A38" s="44">
        <v>33</v>
      </c>
      <c r="B38" s="44" t="s">
        <v>46</v>
      </c>
      <c r="C38" s="44">
        <v>57</v>
      </c>
      <c r="D38" s="45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61">
        <f t="shared" si="3"/>
        <v>150965</v>
      </c>
      <c r="Y38" s="4"/>
    </row>
    <row r="39" s="3" customFormat="1" customHeight="1" spans="1:25">
      <c r="A39" s="44">
        <v>34</v>
      </c>
      <c r="B39" s="44" t="s">
        <v>47</v>
      </c>
      <c r="C39" s="44">
        <v>59</v>
      </c>
      <c r="D39" s="45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61">
        <f t="shared" si="3"/>
        <v>363454</v>
      </c>
      <c r="Y39" s="62"/>
    </row>
    <row r="40" s="3" customFormat="1" customHeight="1" spans="1:25">
      <c r="A40" s="44">
        <v>35</v>
      </c>
      <c r="B40" s="44" t="s">
        <v>48</v>
      </c>
      <c r="C40" s="44">
        <v>60</v>
      </c>
      <c r="D40" s="45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61">
        <f t="shared" si="3"/>
        <v>204959</v>
      </c>
      <c r="Y40" s="4"/>
    </row>
    <row r="41" s="3" customFormat="1" customHeight="1" spans="1:25">
      <c r="A41" s="44">
        <v>36</v>
      </c>
      <c r="B41" s="44" t="s">
        <v>49</v>
      </c>
      <c r="C41" s="44">
        <v>61</v>
      </c>
      <c r="D41" s="45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61">
        <f t="shared" si="3"/>
        <v>425818</v>
      </c>
      <c r="Y41" s="4"/>
    </row>
    <row r="42" s="3" customFormat="1" customHeight="1" spans="1:25">
      <c r="A42" s="44">
        <v>37</v>
      </c>
      <c r="B42" s="44" t="s">
        <v>50</v>
      </c>
      <c r="C42" s="44">
        <v>63</v>
      </c>
      <c r="D42" s="45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61">
        <f t="shared" si="3"/>
        <v>0</v>
      </c>
      <c r="Y42" s="4" t="s">
        <v>75</v>
      </c>
    </row>
    <row r="43" s="3" customFormat="1" customHeight="1" spans="1:25">
      <c r="A43" s="44">
        <v>38</v>
      </c>
      <c r="B43" s="44" t="s">
        <v>51</v>
      </c>
      <c r="C43" s="44">
        <v>64</v>
      </c>
      <c r="D43" s="45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61">
        <f t="shared" si="3"/>
        <v>1</v>
      </c>
      <c r="Y43" s="4" t="s">
        <v>75</v>
      </c>
    </row>
    <row r="44" s="3" customFormat="1" customHeight="1" spans="1:25">
      <c r="A44" s="44">
        <v>39</v>
      </c>
      <c r="B44" s="44" t="s">
        <v>52</v>
      </c>
      <c r="C44" s="44">
        <v>65</v>
      </c>
      <c r="D44" s="45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61">
        <f t="shared" si="3"/>
        <v>1383484</v>
      </c>
      <c r="Y44" s="4"/>
    </row>
    <row r="45" s="3" customFormat="1" customHeight="1" spans="1:25">
      <c r="A45" s="44">
        <v>40</v>
      </c>
      <c r="B45" s="44" t="s">
        <v>53</v>
      </c>
      <c r="C45" s="44">
        <v>66</v>
      </c>
      <c r="D45" s="45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61">
        <f t="shared" si="3"/>
        <v>-62</v>
      </c>
      <c r="Y45" s="4" t="s">
        <v>75</v>
      </c>
    </row>
    <row r="46" s="3" customFormat="1" customHeight="1" spans="1:25">
      <c r="A46" s="44">
        <v>41</v>
      </c>
      <c r="B46" s="44" t="s">
        <v>54</v>
      </c>
      <c r="C46" s="44">
        <v>69</v>
      </c>
      <c r="D46" s="45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61">
        <f t="shared" si="3"/>
        <v>1129000</v>
      </c>
      <c r="Y46" s="4"/>
    </row>
    <row r="47" s="3" customFormat="1" customHeight="1" spans="1:25">
      <c r="A47" s="44">
        <v>42</v>
      </c>
      <c r="B47" s="44" t="s">
        <v>55</v>
      </c>
      <c r="C47" s="44">
        <v>70</v>
      </c>
      <c r="D47" s="45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61">
        <f t="shared" si="3"/>
        <v>1078704</v>
      </c>
      <c r="Y47" s="4"/>
    </row>
    <row r="48" s="3" customFormat="1" customHeight="1" spans="1:25">
      <c r="A48" s="44">
        <v>43</v>
      </c>
      <c r="B48" s="44" t="s">
        <v>43</v>
      </c>
      <c r="C48" s="44">
        <v>72</v>
      </c>
      <c r="D48" s="45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61">
        <f t="shared" si="3"/>
        <v>52000</v>
      </c>
      <c r="Y48" s="4"/>
    </row>
    <row r="49" s="3" customFormat="1" customHeight="1" spans="1:25">
      <c r="A49" s="44">
        <v>44</v>
      </c>
      <c r="B49" s="44" t="s">
        <v>40</v>
      </c>
      <c r="C49" s="44">
        <v>72</v>
      </c>
      <c r="D49" s="45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61">
        <f t="shared" si="3"/>
        <v>7475000</v>
      </c>
      <c r="Y49" s="4"/>
    </row>
    <row r="50" s="3" customFormat="1" customHeight="1" spans="1:25">
      <c r="A50" s="44">
        <v>45</v>
      </c>
      <c r="B50" s="44" t="s">
        <v>43</v>
      </c>
      <c r="C50" s="44">
        <v>73</v>
      </c>
      <c r="D50" s="45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61"/>
      <c r="Y50" s="4"/>
    </row>
    <row r="51" s="3" customFormat="1" customHeight="1" spans="1:25">
      <c r="A51" s="44">
        <v>46</v>
      </c>
      <c r="B51" s="44" t="s">
        <v>56</v>
      </c>
      <c r="C51" s="44">
        <v>74</v>
      </c>
      <c r="D51" s="45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61">
        <f t="shared" ref="X51:X58" si="15">D51+Q51+R51+U51+S51-V51+T51</f>
        <v>0</v>
      </c>
      <c r="Y51" s="4" t="s">
        <v>75</v>
      </c>
    </row>
    <row r="52" s="3" customFormat="1" customHeight="1" spans="1:25">
      <c r="A52" s="44">
        <v>47</v>
      </c>
      <c r="B52" s="44" t="s">
        <v>57</v>
      </c>
      <c r="C52" s="44">
        <v>75</v>
      </c>
      <c r="D52" s="45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</v>
      </c>
      <c r="V52" s="8">
        <f t="shared" si="1"/>
        <v>2872500</v>
      </c>
      <c r="W52" s="8">
        <f t="shared" si="2"/>
        <v>400410.38</v>
      </c>
      <c r="X52" s="61">
        <f t="shared" si="15"/>
        <v>717711.62</v>
      </c>
      <c r="Y52" s="4"/>
    </row>
    <row r="53" s="3" customFormat="1" customHeight="1" spans="1:25">
      <c r="A53" s="44">
        <v>48</v>
      </c>
      <c r="B53" s="44" t="s">
        <v>58</v>
      </c>
      <c r="C53" s="44">
        <v>76</v>
      </c>
      <c r="D53" s="45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61">
        <f t="shared" si="15"/>
        <v>-98040</v>
      </c>
      <c r="Y53" s="4"/>
    </row>
    <row r="54" s="3" customFormat="1" customHeight="1" spans="1:25">
      <c r="A54" s="44">
        <v>49</v>
      </c>
      <c r="B54" s="44" t="s">
        <v>59</v>
      </c>
      <c r="C54" s="44">
        <v>81</v>
      </c>
      <c r="D54" s="45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61">
        <f t="shared" si="15"/>
        <v>964680</v>
      </c>
      <c r="Y54" s="4"/>
    </row>
    <row r="55" s="3" customFormat="1" customHeight="1" spans="1:25">
      <c r="A55" s="44">
        <v>50</v>
      </c>
      <c r="B55" s="44" t="s">
        <v>60</v>
      </c>
      <c r="C55" s="44">
        <v>82</v>
      </c>
      <c r="D55" s="45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61">
        <f t="shared" si="15"/>
        <v>943500</v>
      </c>
      <c r="Y55" s="4"/>
    </row>
    <row r="56" s="3" customFormat="1" customHeight="1" spans="1:25">
      <c r="A56" s="44">
        <v>51</v>
      </c>
      <c r="B56" s="44" t="s">
        <v>61</v>
      </c>
      <c r="C56" s="44">
        <v>84</v>
      </c>
      <c r="D56" s="45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61">
        <f t="shared" si="15"/>
        <v>1503476</v>
      </c>
      <c r="Y56" s="4"/>
    </row>
    <row r="57" s="3" customFormat="1" customHeight="1" spans="1:25">
      <c r="A57" s="44">
        <v>52</v>
      </c>
      <c r="B57" s="44" t="s">
        <v>62</v>
      </c>
      <c r="C57" s="44">
        <v>87</v>
      </c>
      <c r="D57" s="45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61">
        <f t="shared" si="15"/>
        <v>1109250</v>
      </c>
      <c r="Y57" s="4"/>
    </row>
    <row r="58" s="3" customFormat="1" customHeight="1" spans="1:25">
      <c r="A58" s="44">
        <v>53</v>
      </c>
      <c r="B58" s="44" t="s">
        <v>63</v>
      </c>
      <c r="C58" s="44">
        <v>91</v>
      </c>
      <c r="D58" s="45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61">
        <f t="shared" si="15"/>
        <v>0</v>
      </c>
      <c r="Y58" s="4" t="s">
        <v>75</v>
      </c>
    </row>
    <row r="59" s="3" customFormat="1" customHeight="1" spans="1:25">
      <c r="A59" s="44"/>
      <c r="B59" s="46" t="s">
        <v>64</v>
      </c>
      <c r="C59" s="46"/>
      <c r="D59" s="47">
        <f>SUM(D6:D58)</f>
        <v>250785500</v>
      </c>
      <c r="E59" s="47">
        <f t="shared" ref="E59:U59" si="16">SUM(E6:E58)</f>
        <v>4580000</v>
      </c>
      <c r="F59" s="47">
        <f t="shared" si="16"/>
        <v>22831620</v>
      </c>
      <c r="G59" s="47">
        <f t="shared" si="16"/>
        <v>35394244</v>
      </c>
      <c r="H59" s="47">
        <f t="shared" si="16"/>
        <v>102507947</v>
      </c>
      <c r="I59" s="47">
        <f t="shared" si="16"/>
        <v>56855276</v>
      </c>
      <c r="J59" s="52">
        <f t="shared" si="16"/>
        <v>28752480</v>
      </c>
      <c r="K59" s="52">
        <f t="shared" si="16"/>
        <v>26375584</v>
      </c>
      <c r="L59" s="53">
        <f t="shared" si="16"/>
        <v>20909418</v>
      </c>
      <c r="M59" s="53">
        <f t="shared" si="16"/>
        <v>6600250</v>
      </c>
      <c r="N59" s="53">
        <f t="shared" si="16"/>
        <v>19629814</v>
      </c>
      <c r="O59" s="53">
        <f t="shared" si="16"/>
        <v>28898000</v>
      </c>
      <c r="P59" s="53">
        <f t="shared" si="16"/>
        <v>21355500</v>
      </c>
      <c r="Q59" s="53">
        <f t="shared" si="16"/>
        <v>1188045</v>
      </c>
      <c r="R59" s="53">
        <f t="shared" si="16"/>
        <v>3533366.52</v>
      </c>
      <c r="S59" s="53">
        <f t="shared" si="16"/>
        <v>5201640</v>
      </c>
      <c r="T59" s="53">
        <f t="shared" si="9"/>
        <v>3843990</v>
      </c>
      <c r="U59" s="52">
        <f t="shared" si="16"/>
        <v>1529987.6</v>
      </c>
      <c r="V59" s="63">
        <f t="shared" si="1"/>
        <v>222169087</v>
      </c>
      <c r="W59" s="63">
        <f>SUM(W6:W58)</f>
        <v>54351011.88</v>
      </c>
      <c r="X59" s="63">
        <f>SUM(X6:X58)</f>
        <v>43913442.12</v>
      </c>
      <c r="Y59" s="4"/>
    </row>
    <row r="61" s="3" customFormat="1" customHeight="1" spans="1:24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" right="0.0902777777777778" top="0.448611111111111" bottom="0.578472222222222" header="0.314583333333333" footer="0.314583333333333"/>
  <pageSetup paperSize="1" scale="80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1"/>
  <sheetViews>
    <sheetView zoomScale="90" zoomScaleNormal="90" workbookViewId="0">
      <pane ySplit="5" topLeftCell="A6" activePane="bottomLeft" state="frozen"/>
      <selection/>
      <selection pane="bottomLeft" activeCell="J6" sqref="J6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" style="3" customWidth="1"/>
    <col min="6" max="7" width="11.4259259259259" style="3" customWidth="1"/>
    <col min="8" max="8" width="12.4259259259259" style="3" customWidth="1"/>
    <col min="9" max="10" width="11.4259259259259" style="7" customWidth="1"/>
    <col min="11" max="14" width="11.4259259259259" style="6" customWidth="1"/>
    <col min="15" max="15" width="11.1388888888889" style="6" customWidth="1"/>
    <col min="16" max="19" width="11.4259259259259" style="6" customWidth="1"/>
    <col min="20" max="24" width="11" style="6" customWidth="1"/>
    <col min="25" max="25" width="11.8518518518519" style="6" customWidth="1"/>
    <col min="26" max="26" width="13.712962962963" style="8" customWidth="1"/>
    <col min="27" max="27" width="13.5740740740741" style="8" customWidth="1"/>
    <col min="28" max="28" width="13.4259259259259" style="8" customWidth="1"/>
    <col min="29" max="29" width="19.5740740740741" style="4" customWidth="1"/>
    <col min="30" max="30" width="12.4259259259259" style="3" customWidth="1"/>
    <col min="31" max="16384" width="9.13888888888889" style="4"/>
  </cols>
  <sheetData>
    <row r="1" s="1" customFormat="1" customHeight="1" spans="1:30">
      <c r="A1" s="38" t="s">
        <v>0</v>
      </c>
      <c r="B1" s="38"/>
      <c r="C1" s="38"/>
      <c r="D1" s="38"/>
      <c r="E1" s="38"/>
      <c r="F1" s="38"/>
      <c r="G1" s="39"/>
      <c r="H1" s="39"/>
      <c r="I1" s="38"/>
      <c r="J1" s="38"/>
      <c r="K1" s="48"/>
      <c r="L1" s="48"/>
      <c r="M1" s="49"/>
      <c r="N1" s="49"/>
      <c r="O1" s="49"/>
      <c r="P1" s="49"/>
      <c r="Q1" s="49"/>
      <c r="R1" s="49"/>
      <c r="S1" s="49"/>
      <c r="T1" s="54"/>
      <c r="U1" s="49"/>
      <c r="V1" s="49"/>
      <c r="W1" s="49"/>
      <c r="X1" s="49"/>
      <c r="Y1" s="48"/>
      <c r="Z1" s="55"/>
      <c r="AA1" s="56"/>
      <c r="AB1" s="57"/>
      <c r="AD1" s="30"/>
    </row>
    <row r="2" s="1" customFormat="1" customHeight="1" spans="1:30">
      <c r="A2" s="38" t="s">
        <v>84</v>
      </c>
      <c r="B2" s="38"/>
      <c r="C2" s="38"/>
      <c r="D2" s="38"/>
      <c r="E2" s="38"/>
      <c r="F2" s="38"/>
      <c r="G2" s="39"/>
      <c r="H2" s="39"/>
      <c r="I2" s="38"/>
      <c r="J2" s="38"/>
      <c r="K2" s="48"/>
      <c r="L2" s="48"/>
      <c r="M2" s="49"/>
      <c r="N2" s="49"/>
      <c r="O2" s="49"/>
      <c r="P2" s="49"/>
      <c r="Q2" s="49"/>
      <c r="R2" s="49"/>
      <c r="S2" s="49"/>
      <c r="T2" s="54"/>
      <c r="U2" s="49"/>
      <c r="V2" s="49"/>
      <c r="W2" s="49"/>
      <c r="X2" s="49"/>
      <c r="Y2" s="48"/>
      <c r="Z2" s="55"/>
      <c r="AA2" s="56"/>
      <c r="AB2" s="57"/>
      <c r="AD2" s="30"/>
    </row>
    <row r="3" s="1" customFormat="1" customHeight="1" spans="1:30">
      <c r="A3" s="39" t="s">
        <v>85</v>
      </c>
      <c r="B3" s="39"/>
      <c r="C3" s="39"/>
      <c r="D3" s="39"/>
      <c r="E3" s="39"/>
      <c r="F3" s="39"/>
      <c r="G3" s="39"/>
      <c r="H3" s="39"/>
      <c r="I3" s="38"/>
      <c r="J3" s="38"/>
      <c r="K3" s="48"/>
      <c r="L3" s="48"/>
      <c r="M3" s="49"/>
      <c r="N3" s="49"/>
      <c r="O3" s="49"/>
      <c r="P3" s="49"/>
      <c r="Q3" s="49"/>
      <c r="R3" s="49"/>
      <c r="S3" s="49"/>
      <c r="T3" s="54"/>
      <c r="U3" s="49"/>
      <c r="V3" s="49"/>
      <c r="W3" s="49"/>
      <c r="X3" s="49"/>
      <c r="Y3" s="48"/>
      <c r="Z3" s="55"/>
      <c r="AA3" s="56"/>
      <c r="AB3" s="57"/>
      <c r="AD3" s="30"/>
    </row>
    <row r="4" customHeight="1" spans="1:28">
      <c r="A4" s="40"/>
      <c r="B4" s="40"/>
      <c r="C4" s="40"/>
      <c r="D4" s="41"/>
      <c r="E4" s="40"/>
      <c r="F4" s="40"/>
      <c r="G4" s="40"/>
      <c r="H4" s="40"/>
      <c r="I4" s="46"/>
      <c r="J4" s="46"/>
      <c r="K4" s="50"/>
      <c r="L4" s="50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58"/>
      <c r="AB4" s="59"/>
    </row>
    <row r="5" s="37" customFormat="1" ht="53.25" customHeight="1" spans="1:30">
      <c r="A5" s="37" t="s">
        <v>3</v>
      </c>
      <c r="B5" s="37" t="s">
        <v>4</v>
      </c>
      <c r="C5" s="42" t="s">
        <v>5</v>
      </c>
      <c r="D5" s="32" t="s">
        <v>6</v>
      </c>
      <c r="E5" s="43" t="s">
        <v>7</v>
      </c>
      <c r="F5" s="43" t="s">
        <v>8</v>
      </c>
      <c r="G5" s="43" t="s">
        <v>9</v>
      </c>
      <c r="H5" s="43" t="s">
        <v>66</v>
      </c>
      <c r="I5" s="51" t="s">
        <v>68</v>
      </c>
      <c r="J5" s="51" t="s">
        <v>86</v>
      </c>
      <c r="K5" s="32" t="s">
        <v>11</v>
      </c>
      <c r="L5" s="32" t="s">
        <v>69</v>
      </c>
      <c r="M5" s="32" t="s">
        <v>70</v>
      </c>
      <c r="N5" s="32" t="s">
        <v>87</v>
      </c>
      <c r="O5" s="32" t="s">
        <v>12</v>
      </c>
      <c r="P5" s="32" t="s">
        <v>13</v>
      </c>
      <c r="Q5" s="32" t="s">
        <v>14</v>
      </c>
      <c r="R5" s="32" t="s">
        <v>71</v>
      </c>
      <c r="S5" s="32" t="s">
        <v>88</v>
      </c>
      <c r="T5" s="32" t="s">
        <v>15</v>
      </c>
      <c r="U5" s="32" t="s">
        <v>16</v>
      </c>
      <c r="V5" s="32" t="s">
        <v>17</v>
      </c>
      <c r="W5" s="32" t="s">
        <v>72</v>
      </c>
      <c r="X5" s="32" t="s">
        <v>89</v>
      </c>
      <c r="Y5" s="32" t="s">
        <v>18</v>
      </c>
      <c r="Z5" s="60" t="s">
        <v>73</v>
      </c>
      <c r="AA5" s="60" t="s">
        <v>20</v>
      </c>
      <c r="AB5" s="60" t="s">
        <v>21</v>
      </c>
      <c r="AC5" s="37" t="s">
        <v>74</v>
      </c>
      <c r="AD5" s="43"/>
    </row>
    <row r="6" customHeight="1" spans="1:28">
      <c r="A6" s="44">
        <v>1</v>
      </c>
      <c r="B6" s="44" t="s">
        <v>22</v>
      </c>
      <c r="C6" s="44">
        <v>6</v>
      </c>
      <c r="D6" s="45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61">
        <f>D6+T6+U6+Y6+V6-Z6+W6+X6</f>
        <v>230954</v>
      </c>
    </row>
    <row r="7" customHeight="1" spans="1:28">
      <c r="A7" s="44">
        <v>2</v>
      </c>
      <c r="B7" s="44" t="s">
        <v>23</v>
      </c>
      <c r="C7" s="44">
        <v>16</v>
      </c>
      <c r="D7" s="45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61">
        <f t="shared" ref="AB7:AB58" si="3">D7+T7+U7+Y7+V7-Z7+W7+X7</f>
        <v>1378200</v>
      </c>
    </row>
    <row r="8" customHeight="1" spans="1:28">
      <c r="A8" s="44">
        <v>3</v>
      </c>
      <c r="B8" s="44" t="s">
        <v>40</v>
      </c>
      <c r="C8" s="44">
        <v>18</v>
      </c>
      <c r="D8" s="45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61">
        <f t="shared" si="3"/>
        <v>4975000</v>
      </c>
    </row>
    <row r="9" customHeight="1" spans="1:28">
      <c r="A9" s="44">
        <v>4</v>
      </c>
      <c r="B9" s="44" t="s">
        <v>25</v>
      </c>
      <c r="C9" s="44">
        <v>19</v>
      </c>
      <c r="D9" s="45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61">
        <f t="shared" si="3"/>
        <v>184500</v>
      </c>
    </row>
    <row r="10" customHeight="1" spans="1:28">
      <c r="A10" s="44">
        <v>5</v>
      </c>
      <c r="B10" s="44" t="s">
        <v>26</v>
      </c>
      <c r="C10" s="44">
        <v>21</v>
      </c>
      <c r="D10" s="45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61">
        <f t="shared" si="3"/>
        <v>309824</v>
      </c>
    </row>
    <row r="11" customHeight="1" spans="1:29">
      <c r="A11" s="44">
        <v>6</v>
      </c>
      <c r="B11" s="44" t="s">
        <v>27</v>
      </c>
      <c r="C11" s="44">
        <v>22</v>
      </c>
      <c r="D11" s="45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61">
        <f t="shared" si="3"/>
        <v>0</v>
      </c>
      <c r="AC11" s="4" t="s">
        <v>75</v>
      </c>
    </row>
    <row r="12" customHeight="1" spans="1:28">
      <c r="A12" s="44">
        <v>7</v>
      </c>
      <c r="B12" s="44" t="s">
        <v>43</v>
      </c>
      <c r="C12" s="44">
        <v>24</v>
      </c>
      <c r="D12" s="45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61">
        <f t="shared" si="3"/>
        <v>52000</v>
      </c>
    </row>
    <row r="13" customHeight="1" spans="1:28">
      <c r="A13" s="44">
        <v>8</v>
      </c>
      <c r="B13" s="44" t="s">
        <v>25</v>
      </c>
      <c r="C13" s="44">
        <v>25</v>
      </c>
      <c r="D13" s="45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61">
        <f t="shared" si="3"/>
        <v>184500</v>
      </c>
    </row>
    <row r="14" customHeight="1" spans="1:28">
      <c r="A14" s="44">
        <v>9</v>
      </c>
      <c r="B14" s="44" t="s">
        <v>28</v>
      </c>
      <c r="C14" s="44">
        <v>29</v>
      </c>
      <c r="D14" s="45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61">
        <f t="shared" si="3"/>
        <v>71704</v>
      </c>
    </row>
    <row r="15" customHeight="1" spans="1:29">
      <c r="A15" s="44">
        <v>10</v>
      </c>
      <c r="B15" s="44" t="s">
        <v>29</v>
      </c>
      <c r="C15" s="44">
        <v>30</v>
      </c>
      <c r="D15" s="45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61">
        <f t="shared" si="3"/>
        <v>0</v>
      </c>
      <c r="AC15" s="4" t="s">
        <v>75</v>
      </c>
    </row>
    <row r="16" customHeight="1" spans="1:28">
      <c r="A16" s="44">
        <v>11</v>
      </c>
      <c r="B16" s="44" t="s">
        <v>30</v>
      </c>
      <c r="C16" s="44">
        <v>31</v>
      </c>
      <c r="D16" s="45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61">
        <f t="shared" si="3"/>
        <v>1105500</v>
      </c>
    </row>
    <row r="17" customHeight="1" spans="1:29">
      <c r="A17" s="44">
        <v>12</v>
      </c>
      <c r="B17" s="44" t="s">
        <v>31</v>
      </c>
      <c r="C17" s="44">
        <v>32</v>
      </c>
      <c r="D17" s="45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61">
        <f t="shared" si="3"/>
        <v>36832.5</v>
      </c>
      <c r="AC17" s="4" t="s">
        <v>75</v>
      </c>
    </row>
    <row r="18" s="3" customFormat="1" customHeight="1" spans="1:29">
      <c r="A18" s="44">
        <v>13</v>
      </c>
      <c r="B18" s="44" t="s">
        <v>32</v>
      </c>
      <c r="C18" s="44">
        <v>33</v>
      </c>
      <c r="D18" s="45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61">
        <f t="shared" si="3"/>
        <v>0</v>
      </c>
      <c r="AC18" s="4" t="s">
        <v>77</v>
      </c>
    </row>
    <row r="19" s="3" customFormat="1" customHeight="1" spans="1:29">
      <c r="A19" s="44">
        <v>14</v>
      </c>
      <c r="B19" s="44" t="s">
        <v>33</v>
      </c>
      <c r="C19" s="44">
        <v>34</v>
      </c>
      <c r="D19" s="45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61">
        <f t="shared" si="3"/>
        <v>0</v>
      </c>
      <c r="AC19" s="4" t="s">
        <v>75</v>
      </c>
    </row>
    <row r="20" s="3" customFormat="1" customHeight="1" spans="1:29">
      <c r="A20" s="44">
        <v>15</v>
      </c>
      <c r="B20" s="44" t="s">
        <v>34</v>
      </c>
      <c r="C20" s="44">
        <v>35</v>
      </c>
      <c r="D20" s="45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61">
        <f t="shared" si="3"/>
        <v>391954</v>
      </c>
      <c r="AC20" s="4"/>
    </row>
    <row r="21" s="3" customFormat="1" customHeight="1" spans="1:29">
      <c r="A21" s="44">
        <v>16</v>
      </c>
      <c r="B21" s="44" t="s">
        <v>35</v>
      </c>
      <c r="C21" s="44">
        <v>37</v>
      </c>
      <c r="D21" s="45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61">
        <f t="shared" si="3"/>
        <v>342750</v>
      </c>
      <c r="AC21" s="4"/>
    </row>
    <row r="22" s="3" customFormat="1" customHeight="1" spans="1:29">
      <c r="A22" s="44">
        <v>17</v>
      </c>
      <c r="B22" s="44" t="s">
        <v>36</v>
      </c>
      <c r="C22" s="44">
        <v>38</v>
      </c>
      <c r="D22" s="45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61">
        <f t="shared" si="3"/>
        <v>1335500</v>
      </c>
      <c r="AC22" s="4"/>
    </row>
    <row r="23" s="3" customFormat="1" customHeight="1" spans="1:29">
      <c r="A23" s="44">
        <v>18</v>
      </c>
      <c r="B23" s="44" t="s">
        <v>37</v>
      </c>
      <c r="C23" s="44">
        <v>39</v>
      </c>
      <c r="D23" s="45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61">
        <f t="shared" si="3"/>
        <v>761125</v>
      </c>
      <c r="AC23" s="4"/>
    </row>
    <row r="24" s="3" customFormat="1" customHeight="1" spans="1:29">
      <c r="A24" s="44">
        <v>19</v>
      </c>
      <c r="B24" s="44" t="s">
        <v>38</v>
      </c>
      <c r="C24" s="44">
        <v>40</v>
      </c>
      <c r="D24" s="45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61">
        <f t="shared" si="3"/>
        <v>2093220</v>
      </c>
      <c r="AC24" s="4"/>
    </row>
    <row r="25" s="3" customFormat="1" customHeight="1" spans="1:29">
      <c r="A25" s="44">
        <v>20</v>
      </c>
      <c r="B25" s="44" t="s">
        <v>39</v>
      </c>
      <c r="C25" s="44">
        <v>41</v>
      </c>
      <c r="D25" s="45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61">
        <f t="shared" si="3"/>
        <v>0</v>
      </c>
      <c r="AC25" s="4" t="s">
        <v>75</v>
      </c>
    </row>
    <row r="26" s="3" customFormat="1" customHeight="1" spans="1:29">
      <c r="A26" s="44">
        <v>21</v>
      </c>
      <c r="B26" s="44" t="s">
        <v>25</v>
      </c>
      <c r="C26" s="44">
        <v>42</v>
      </c>
      <c r="D26" s="45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61">
        <f t="shared" si="3"/>
        <v>252000</v>
      </c>
      <c r="AC26" s="4"/>
    </row>
    <row r="27" s="3" customFormat="1" customHeight="1" spans="1:29">
      <c r="A27" s="44">
        <v>22</v>
      </c>
      <c r="B27" s="44" t="s">
        <v>25</v>
      </c>
      <c r="C27" s="44">
        <v>43</v>
      </c>
      <c r="D27" s="45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61">
        <f t="shared" si="3"/>
        <v>184500</v>
      </c>
      <c r="AC27" s="4"/>
    </row>
    <row r="28" s="3" customFormat="1" customHeight="1" spans="1:29">
      <c r="A28" s="44">
        <v>23</v>
      </c>
      <c r="B28" s="44" t="s">
        <v>25</v>
      </c>
      <c r="C28" s="44">
        <v>45</v>
      </c>
      <c r="D28" s="45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61">
        <f t="shared" si="3"/>
        <v>252000</v>
      </c>
      <c r="AC28" s="4"/>
    </row>
    <row r="29" s="3" customFormat="1" customHeight="1" spans="1:29">
      <c r="A29" s="44">
        <v>24</v>
      </c>
      <c r="B29" s="44" t="s">
        <v>82</v>
      </c>
      <c r="C29" s="44">
        <v>45</v>
      </c>
      <c r="D29" s="45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61">
        <f t="shared" si="3"/>
        <v>6160000</v>
      </c>
      <c r="AC29" s="4" t="s">
        <v>83</v>
      </c>
    </row>
    <row r="30" s="3" customFormat="1" customHeight="1" spans="1:29">
      <c r="A30" s="44">
        <v>25</v>
      </c>
      <c r="B30" s="44" t="s">
        <v>40</v>
      </c>
      <c r="C30" s="44">
        <v>46</v>
      </c>
      <c r="D30" s="45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61">
        <f t="shared" si="3"/>
        <v>2147000</v>
      </c>
      <c r="AC30" s="4"/>
    </row>
    <row r="31" s="3" customFormat="1" customHeight="1" spans="1:29">
      <c r="A31" s="44">
        <v>26</v>
      </c>
      <c r="B31" s="44" t="s">
        <v>41</v>
      </c>
      <c r="C31" s="44">
        <v>48</v>
      </c>
      <c r="D31" s="45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61">
        <f t="shared" si="3"/>
        <v>-48772</v>
      </c>
      <c r="AC31" s="4"/>
    </row>
    <row r="32" s="3" customFormat="1" customHeight="1" spans="1:29">
      <c r="A32" s="44">
        <v>27</v>
      </c>
      <c r="B32" s="44" t="s">
        <v>25</v>
      </c>
      <c r="C32" s="44">
        <v>49</v>
      </c>
      <c r="D32" s="45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61">
        <f t="shared" si="3"/>
        <v>276750</v>
      </c>
      <c r="AC32" s="4"/>
    </row>
    <row r="33" s="3" customFormat="1" customHeight="1" spans="1:29">
      <c r="A33" s="44">
        <v>28</v>
      </c>
      <c r="B33" s="44" t="s">
        <v>25</v>
      </c>
      <c r="C33" s="44">
        <v>51</v>
      </c>
      <c r="D33" s="45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61">
        <f t="shared" si="3"/>
        <v>252000</v>
      </c>
      <c r="AC33" s="4"/>
    </row>
    <row r="34" s="3" customFormat="1" customHeight="1" spans="1:29">
      <c r="A34" s="44">
        <v>29</v>
      </c>
      <c r="B34" s="44" t="s">
        <v>25</v>
      </c>
      <c r="C34" s="44">
        <v>52</v>
      </c>
      <c r="D34" s="45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61">
        <f t="shared" si="3"/>
        <v>252000</v>
      </c>
      <c r="AC34" s="4"/>
    </row>
    <row r="35" s="3" customFormat="1" customHeight="1" spans="1:29">
      <c r="A35" s="44">
        <v>30</v>
      </c>
      <c r="B35" s="44" t="s">
        <v>43</v>
      </c>
      <c r="C35" s="44">
        <v>54</v>
      </c>
      <c r="D35" s="45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61">
        <f t="shared" si="3"/>
        <v>-15500</v>
      </c>
      <c r="AC35" s="4"/>
    </row>
    <row r="36" s="3" customFormat="1" customHeight="1" spans="1:29">
      <c r="A36" s="44">
        <v>31</v>
      </c>
      <c r="B36" s="44" t="s">
        <v>44</v>
      </c>
      <c r="C36" s="44">
        <v>55</v>
      </c>
      <c r="D36" s="45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61">
        <f t="shared" si="3"/>
        <v>2367500</v>
      </c>
      <c r="AC36" s="4"/>
    </row>
    <row r="37" s="3" customFormat="1" customHeight="1" spans="1:29">
      <c r="A37" s="44">
        <v>32</v>
      </c>
      <c r="B37" s="44" t="s">
        <v>45</v>
      </c>
      <c r="C37" s="44">
        <v>56</v>
      </c>
      <c r="D37" s="45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61">
        <f t="shared" si="3"/>
        <v>976500</v>
      </c>
      <c r="AC37" s="4"/>
    </row>
    <row r="38" s="3" customFormat="1" customHeight="1" spans="1:29">
      <c r="A38" s="44">
        <v>33</v>
      </c>
      <c r="B38" s="44" t="s">
        <v>46</v>
      </c>
      <c r="C38" s="44">
        <v>57</v>
      </c>
      <c r="D38" s="45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61">
        <f t="shared" si="3"/>
        <v>150965</v>
      </c>
      <c r="AC38" s="4"/>
    </row>
    <row r="39" s="3" customFormat="1" customHeight="1" spans="1:29">
      <c r="A39" s="44">
        <v>34</v>
      </c>
      <c r="B39" s="44" t="s">
        <v>47</v>
      </c>
      <c r="C39" s="44">
        <v>59</v>
      </c>
      <c r="D39" s="45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61">
        <f t="shared" si="3"/>
        <v>363454</v>
      </c>
      <c r="AC39" s="62"/>
    </row>
    <row r="40" s="3" customFormat="1" customHeight="1" spans="1:29">
      <c r="A40" s="44">
        <v>35</v>
      </c>
      <c r="B40" s="44" t="s">
        <v>48</v>
      </c>
      <c r="C40" s="44">
        <v>60</v>
      </c>
      <c r="D40" s="45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61">
        <f t="shared" si="3"/>
        <v>204959</v>
      </c>
      <c r="AC40" s="4"/>
    </row>
    <row r="41" s="3" customFormat="1" customHeight="1" spans="1:29">
      <c r="A41" s="44">
        <v>36</v>
      </c>
      <c r="B41" s="44" t="s">
        <v>49</v>
      </c>
      <c r="C41" s="44">
        <v>61</v>
      </c>
      <c r="D41" s="45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61">
        <f t="shared" si="3"/>
        <v>425818</v>
      </c>
      <c r="AC41" s="4"/>
    </row>
    <row r="42" s="3" customFormat="1" customHeight="1" spans="1:29">
      <c r="A42" s="44">
        <v>37</v>
      </c>
      <c r="B42" s="44" t="s">
        <v>50</v>
      </c>
      <c r="C42" s="44">
        <v>63</v>
      </c>
      <c r="D42" s="45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61">
        <f t="shared" si="3"/>
        <v>0</v>
      </c>
      <c r="AC42" s="4" t="s">
        <v>75</v>
      </c>
    </row>
    <row r="43" s="3" customFormat="1" customHeight="1" spans="1:29">
      <c r="A43" s="44">
        <v>38</v>
      </c>
      <c r="B43" s="44" t="s">
        <v>51</v>
      </c>
      <c r="C43" s="44">
        <v>64</v>
      </c>
      <c r="D43" s="45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61">
        <f t="shared" si="3"/>
        <v>1</v>
      </c>
      <c r="AC43" s="4" t="s">
        <v>75</v>
      </c>
    </row>
    <row r="44" s="3" customFormat="1" customHeight="1" spans="1:29">
      <c r="A44" s="44">
        <v>39</v>
      </c>
      <c r="B44" s="44" t="s">
        <v>52</v>
      </c>
      <c r="C44" s="44">
        <v>65</v>
      </c>
      <c r="D44" s="45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61">
        <f t="shared" si="3"/>
        <v>1383484</v>
      </c>
      <c r="AC44" s="4"/>
    </row>
    <row r="45" s="3" customFormat="1" customHeight="1" spans="1:29">
      <c r="A45" s="44">
        <v>40</v>
      </c>
      <c r="B45" s="44" t="s">
        <v>53</v>
      </c>
      <c r="C45" s="44">
        <v>66</v>
      </c>
      <c r="D45" s="45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61">
        <f t="shared" si="3"/>
        <v>-62</v>
      </c>
      <c r="AC45" s="4" t="s">
        <v>75</v>
      </c>
    </row>
    <row r="46" s="3" customFormat="1" customHeight="1" spans="1:29">
      <c r="A46" s="44">
        <v>41</v>
      </c>
      <c r="B46" s="44" t="s">
        <v>54</v>
      </c>
      <c r="C46" s="44">
        <v>69</v>
      </c>
      <c r="D46" s="45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61">
        <f t="shared" si="3"/>
        <v>1129000</v>
      </c>
      <c r="AC46" s="4"/>
    </row>
    <row r="47" s="3" customFormat="1" customHeight="1" spans="1:29">
      <c r="A47" s="44">
        <v>42</v>
      </c>
      <c r="B47" s="44" t="s">
        <v>55</v>
      </c>
      <c r="C47" s="44">
        <v>70</v>
      </c>
      <c r="D47" s="45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61">
        <f t="shared" si="3"/>
        <v>1078704</v>
      </c>
      <c r="AC47" s="4"/>
    </row>
    <row r="48" s="3" customFormat="1" customHeight="1" spans="1:29">
      <c r="A48" s="44">
        <v>43</v>
      </c>
      <c r="B48" s="44" t="s">
        <v>43</v>
      </c>
      <c r="C48" s="44">
        <v>72</v>
      </c>
      <c r="D48" s="45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61">
        <f t="shared" si="3"/>
        <v>52000</v>
      </c>
      <c r="AC48" s="4"/>
    </row>
    <row r="49" s="3" customFormat="1" customHeight="1" spans="1:29">
      <c r="A49" s="44">
        <v>44</v>
      </c>
      <c r="B49" s="44" t="s">
        <v>40</v>
      </c>
      <c r="C49" s="44">
        <v>72</v>
      </c>
      <c r="D49" s="45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61">
        <f t="shared" si="3"/>
        <v>7475000</v>
      </c>
      <c r="AC49" s="4"/>
    </row>
    <row r="50" s="3" customFormat="1" customHeight="1" spans="1:29">
      <c r="A50" s="44">
        <v>45</v>
      </c>
      <c r="B50" s="44" t="s">
        <v>43</v>
      </c>
      <c r="C50" s="44">
        <v>73</v>
      </c>
      <c r="D50" s="45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61">
        <f t="shared" si="3"/>
        <v>0</v>
      </c>
      <c r="AC50" s="4"/>
    </row>
    <row r="51" s="3" customFormat="1" customHeight="1" spans="1:29">
      <c r="A51" s="44">
        <v>46</v>
      </c>
      <c r="B51" s="44" t="s">
        <v>56</v>
      </c>
      <c r="C51" s="44">
        <v>74</v>
      </c>
      <c r="D51" s="45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61">
        <f t="shared" si="3"/>
        <v>0</v>
      </c>
      <c r="AC51" s="4" t="s">
        <v>75</v>
      </c>
    </row>
    <row r="52" s="3" customFormat="1" customHeight="1" spans="1:29">
      <c r="A52" s="44">
        <v>47</v>
      </c>
      <c r="B52" s="44" t="s">
        <v>57</v>
      </c>
      <c r="C52" s="44">
        <v>75</v>
      </c>
      <c r="D52" s="45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</v>
      </c>
      <c r="Z52" s="8">
        <f t="shared" si="1"/>
        <v>2872500</v>
      </c>
      <c r="AA52" s="8">
        <f t="shared" si="2"/>
        <v>400410.38</v>
      </c>
      <c r="AB52" s="61">
        <f t="shared" si="3"/>
        <v>717711.62</v>
      </c>
      <c r="AC52" s="4"/>
    </row>
    <row r="53" s="3" customFormat="1" customHeight="1" spans="1:29">
      <c r="A53" s="44">
        <v>48</v>
      </c>
      <c r="B53" s="44" t="s">
        <v>58</v>
      </c>
      <c r="C53" s="44">
        <v>76</v>
      </c>
      <c r="D53" s="45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61">
        <f t="shared" si="3"/>
        <v>-98040</v>
      </c>
      <c r="AC53" s="4"/>
    </row>
    <row r="54" s="3" customFormat="1" customHeight="1" spans="1:29">
      <c r="A54" s="44">
        <v>49</v>
      </c>
      <c r="B54" s="44" t="s">
        <v>59</v>
      </c>
      <c r="C54" s="44">
        <v>81</v>
      </c>
      <c r="D54" s="45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61">
        <f t="shared" si="3"/>
        <v>964680</v>
      </c>
      <c r="AC54" s="4"/>
    </row>
    <row r="55" s="3" customFormat="1" customHeight="1" spans="1:29">
      <c r="A55" s="44">
        <v>50</v>
      </c>
      <c r="B55" s="44" t="s">
        <v>60</v>
      </c>
      <c r="C55" s="44">
        <v>82</v>
      </c>
      <c r="D55" s="45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61">
        <f t="shared" si="3"/>
        <v>943500</v>
      </c>
      <c r="AC55" s="4"/>
    </row>
    <row r="56" s="3" customFormat="1" customHeight="1" spans="1:29">
      <c r="A56" s="44">
        <v>51</v>
      </c>
      <c r="B56" s="44" t="s">
        <v>61</v>
      </c>
      <c r="C56" s="44">
        <v>84</v>
      </c>
      <c r="D56" s="45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61">
        <f t="shared" si="3"/>
        <v>1503476</v>
      </c>
      <c r="AC56" s="4"/>
    </row>
    <row r="57" s="3" customFormat="1" customHeight="1" spans="1:29">
      <c r="A57" s="44">
        <v>52</v>
      </c>
      <c r="B57" s="44" t="s">
        <v>62</v>
      </c>
      <c r="C57" s="44">
        <v>87</v>
      </c>
      <c r="D57" s="45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61">
        <f t="shared" si="3"/>
        <v>1109250</v>
      </c>
      <c r="AC57" s="4"/>
    </row>
    <row r="58" s="3" customFormat="1" customHeight="1" spans="1:29">
      <c r="A58" s="44">
        <v>53</v>
      </c>
      <c r="B58" s="44" t="s">
        <v>63</v>
      </c>
      <c r="C58" s="44">
        <v>91</v>
      </c>
      <c r="D58" s="45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61">
        <f t="shared" si="3"/>
        <v>0</v>
      </c>
      <c r="AC58" s="4" t="s">
        <v>75</v>
      </c>
    </row>
    <row r="59" s="3" customFormat="1" customHeight="1" spans="1:29">
      <c r="A59" s="44"/>
      <c r="B59" s="46" t="s">
        <v>64</v>
      </c>
      <c r="C59" s="46"/>
      <c r="D59" s="47">
        <f>SUM(D6:D58)</f>
        <v>250785500</v>
      </c>
      <c r="E59" s="47">
        <f t="shared" ref="E59:Y59" si="10">SUM(E6:E58)</f>
        <v>4580000</v>
      </c>
      <c r="F59" s="47">
        <f t="shared" si="10"/>
        <v>22831620</v>
      </c>
      <c r="G59" s="47">
        <f t="shared" si="10"/>
        <v>35394244</v>
      </c>
      <c r="H59" s="47">
        <f t="shared" si="10"/>
        <v>102507947</v>
      </c>
      <c r="I59" s="47">
        <f t="shared" si="10"/>
        <v>56855276</v>
      </c>
      <c r="J59" s="47"/>
      <c r="K59" s="52">
        <f t="shared" si="10"/>
        <v>28752480</v>
      </c>
      <c r="L59" s="52">
        <f t="shared" si="10"/>
        <v>26375584</v>
      </c>
      <c r="M59" s="53">
        <f t="shared" si="10"/>
        <v>20909418</v>
      </c>
      <c r="N59" s="53"/>
      <c r="O59" s="53">
        <f t="shared" si="10"/>
        <v>6600250</v>
      </c>
      <c r="P59" s="53">
        <f t="shared" si="10"/>
        <v>19629814</v>
      </c>
      <c r="Q59" s="53">
        <f t="shared" si="10"/>
        <v>28898000</v>
      </c>
      <c r="R59" s="53">
        <f t="shared" si="10"/>
        <v>21355500</v>
      </c>
      <c r="S59" s="53"/>
      <c r="T59" s="53">
        <f t="shared" si="10"/>
        <v>1188045</v>
      </c>
      <c r="U59" s="53">
        <f t="shared" si="10"/>
        <v>3533366.52</v>
      </c>
      <c r="V59" s="53">
        <f t="shared" si="10"/>
        <v>5201640</v>
      </c>
      <c r="W59" s="53">
        <f t="shared" si="8"/>
        <v>3843990</v>
      </c>
      <c r="X59" s="53"/>
      <c r="Y59" s="52">
        <f t="shared" si="10"/>
        <v>1529987.6</v>
      </c>
      <c r="Z59" s="63">
        <f>E59+F59+G59+H59+I59</f>
        <v>222169087</v>
      </c>
      <c r="AA59" s="63">
        <f>SUM(AA6:AA58)</f>
        <v>54351011.88</v>
      </c>
      <c r="AB59" s="63">
        <f>SUM(AB6:AB58)</f>
        <v>43913442.12</v>
      </c>
      <c r="AC59" s="4"/>
    </row>
    <row r="61" s="3" customFormat="1" customHeight="1" spans="1:28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" right="0.0902777777777778" top="0.448611111111111" bottom="0.578472222222222" header="0.314583333333333" footer="0.314583333333333"/>
  <pageSetup paperSize="1" scale="8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D60"/>
  <sheetViews>
    <sheetView zoomScale="90" zoomScaleNormal="90" workbookViewId="0">
      <pane ySplit="4" topLeftCell="A5" activePane="bottomLeft" state="frozen"/>
      <selection/>
      <selection pane="bottomLeft" activeCell="B7" sqref="B7"/>
    </sheetView>
  </sheetViews>
  <sheetFormatPr defaultColWidth="9.13888888888889" defaultRowHeight="15.95" customHeight="1"/>
  <cols>
    <col min="1" max="1" width="4.85185185185185" style="4" customWidth="1"/>
    <col min="2" max="2" width="30.1388888888889" style="4" customWidth="1"/>
    <col min="3" max="3" width="5" style="5" customWidth="1"/>
    <col min="4" max="4" width="13.4259259259259" style="6" customWidth="1"/>
    <col min="5" max="5" width="10" style="3" customWidth="1"/>
    <col min="6" max="7" width="11.4259259259259" style="3" customWidth="1"/>
    <col min="8" max="8" width="12.4259259259259" style="3" customWidth="1"/>
    <col min="9" max="10" width="11.4259259259259" style="7" customWidth="1"/>
    <col min="11" max="14" width="11.4259259259259" style="6" customWidth="1"/>
    <col min="15" max="15" width="11.1388888888889" style="6" customWidth="1"/>
    <col min="16" max="19" width="11.4259259259259" style="6" customWidth="1"/>
    <col min="20" max="24" width="11" style="6" customWidth="1"/>
    <col min="25" max="25" width="11.8518518518519" style="6" customWidth="1"/>
    <col min="26" max="26" width="13.712962962963" style="8" customWidth="1"/>
    <col min="27" max="27" width="13.5740740740741" style="9" customWidth="1"/>
    <col min="28" max="28" width="13.4259259259259" style="8" customWidth="1"/>
    <col min="29" max="29" width="19.5740740740741" style="4" customWidth="1"/>
    <col min="30" max="30" width="12.4259259259259" style="3" customWidth="1"/>
    <col min="31" max="16384" width="9.13888888888889" style="4"/>
  </cols>
  <sheetData>
    <row r="1" s="1" customFormat="1" customHeight="1" spans="1:30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10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6"/>
      <c r="AA1" s="27"/>
      <c r="AB1" s="28"/>
      <c r="AC1" s="29"/>
      <c r="AD1" s="30"/>
    </row>
    <row r="2" s="1" customFormat="1" customHeight="1" spans="1:30">
      <c r="A2" s="10" t="s">
        <v>90</v>
      </c>
      <c r="B2" s="10"/>
      <c r="C2" s="10"/>
      <c r="D2" s="10"/>
      <c r="E2" s="10"/>
      <c r="F2" s="10"/>
      <c r="G2" s="11"/>
      <c r="H2" s="11"/>
      <c r="I2" s="10"/>
      <c r="J2" s="10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6"/>
      <c r="AA2" s="27"/>
      <c r="AB2" s="28"/>
      <c r="AC2" s="29"/>
      <c r="AD2" s="30"/>
    </row>
    <row r="3" s="1" customFormat="1" customHeight="1" spans="1:30">
      <c r="A3" s="11" t="s">
        <v>91</v>
      </c>
      <c r="B3" s="11"/>
      <c r="C3" s="11"/>
      <c r="D3" s="11"/>
      <c r="E3" s="11"/>
      <c r="F3" s="11"/>
      <c r="G3" s="11"/>
      <c r="H3" s="11"/>
      <c r="I3" s="10"/>
      <c r="J3" s="10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6"/>
      <c r="AA3" s="27"/>
      <c r="AB3" s="28"/>
      <c r="AC3" s="29"/>
      <c r="AD3" s="30"/>
    </row>
    <row r="4" s="2" customFormat="1" ht="58" customHeight="1" spans="1:3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66</v>
      </c>
      <c r="I4" s="13" t="s">
        <v>68</v>
      </c>
      <c r="J4" s="13" t="s">
        <v>86</v>
      </c>
      <c r="K4" s="13" t="s">
        <v>11</v>
      </c>
      <c r="L4" s="13" t="s">
        <v>69</v>
      </c>
      <c r="M4" s="13" t="s">
        <v>70</v>
      </c>
      <c r="N4" s="13" t="s">
        <v>87</v>
      </c>
      <c r="O4" s="13" t="s">
        <v>12</v>
      </c>
      <c r="P4" s="13" t="s">
        <v>13</v>
      </c>
      <c r="Q4" s="13" t="s">
        <v>14</v>
      </c>
      <c r="R4" s="13" t="s">
        <v>71</v>
      </c>
      <c r="S4" s="13" t="s">
        <v>88</v>
      </c>
      <c r="T4" s="13" t="s">
        <v>15</v>
      </c>
      <c r="U4" s="13" t="s">
        <v>16</v>
      </c>
      <c r="V4" s="13" t="s">
        <v>17</v>
      </c>
      <c r="W4" s="13" t="s">
        <v>72</v>
      </c>
      <c r="X4" s="13" t="s">
        <v>89</v>
      </c>
      <c r="Y4" s="13" t="s">
        <v>18</v>
      </c>
      <c r="Z4" s="13" t="s">
        <v>73</v>
      </c>
      <c r="AA4" s="31" t="s">
        <v>20</v>
      </c>
      <c r="AB4" s="13" t="s">
        <v>21</v>
      </c>
      <c r="AC4" s="12" t="s">
        <v>74</v>
      </c>
      <c r="AD4" s="32"/>
    </row>
    <row r="5" customHeight="1" spans="1:29">
      <c r="A5" s="14">
        <v>1</v>
      </c>
      <c r="B5" s="14" t="s">
        <v>22</v>
      </c>
      <c r="C5" s="14">
        <v>6</v>
      </c>
      <c r="D5" s="15">
        <v>4500000</v>
      </c>
      <c r="E5" s="16">
        <v>225000</v>
      </c>
      <c r="F5" s="16">
        <v>75000</v>
      </c>
      <c r="G5" s="16">
        <v>0</v>
      </c>
      <c r="H5" s="16">
        <f>2600000+600000+800000</f>
        <v>4000000</v>
      </c>
      <c r="I5" s="21">
        <v>255000</v>
      </c>
      <c r="J5" s="21"/>
      <c r="K5" s="15">
        <v>1920000</v>
      </c>
      <c r="L5" s="15">
        <v>-382500</v>
      </c>
      <c r="M5" s="15"/>
      <c r="N5" s="15"/>
      <c r="O5" s="15"/>
      <c r="P5" s="15">
        <f>690000+847500</f>
        <v>1537500</v>
      </c>
      <c r="Q5" s="15">
        <v>0</v>
      </c>
      <c r="R5" s="15"/>
      <c r="S5" s="15"/>
      <c r="T5" s="15">
        <f t="shared" ref="T5:X5" si="0">O5*18%</f>
        <v>0</v>
      </c>
      <c r="U5" s="15">
        <f t="shared" si="0"/>
        <v>276750</v>
      </c>
      <c r="V5" s="15">
        <f t="shared" si="0"/>
        <v>0</v>
      </c>
      <c r="W5" s="15">
        <f t="shared" si="0"/>
        <v>0</v>
      </c>
      <c r="X5" s="15">
        <f t="shared" si="0"/>
        <v>0</v>
      </c>
      <c r="Y5" s="15">
        <f>9204</f>
        <v>9204</v>
      </c>
      <c r="Z5" s="33">
        <f t="shared" ref="Z5:Z57" si="1">E5+F5+G5+H5+I5+J5</f>
        <v>4555000</v>
      </c>
      <c r="AA5" s="15">
        <f t="shared" ref="AA5:AA57" si="2">Z5-K5-O5-P5-Y5-T5-U5-Q5-V5-L5-R5-W5-M5-N5-S5-X5</f>
        <v>1194046</v>
      </c>
      <c r="AB5" s="34">
        <f t="shared" ref="AB5:AB57" si="3">D5+T5+U5+Y5+V5-Z5+W5+X5</f>
        <v>230954</v>
      </c>
      <c r="AC5" s="14"/>
    </row>
    <row r="6" customHeight="1" spans="1:29">
      <c r="A6" s="14">
        <v>2</v>
      </c>
      <c r="B6" s="14" t="s">
        <v>23</v>
      </c>
      <c r="C6" s="14">
        <v>16</v>
      </c>
      <c r="D6" s="15">
        <v>4144000</v>
      </c>
      <c r="E6" s="16">
        <v>0</v>
      </c>
      <c r="F6" s="16">
        <v>0</v>
      </c>
      <c r="G6" s="16">
        <f>225000</f>
        <v>225000</v>
      </c>
      <c r="H6" s="16">
        <f>891600+976440</f>
        <v>1868040</v>
      </c>
      <c r="I6" s="21">
        <v>925480</v>
      </c>
      <c r="J6" s="21">
        <v>1508034</v>
      </c>
      <c r="K6" s="15"/>
      <c r="L6" s="15">
        <v>936000</v>
      </c>
      <c r="M6" s="15">
        <v>468000</v>
      </c>
      <c r="N6" s="15"/>
      <c r="O6" s="15"/>
      <c r="P6" s="15">
        <v>0</v>
      </c>
      <c r="Q6" s="15">
        <f>1386000-450000</f>
        <v>936000</v>
      </c>
      <c r="R6" s="15">
        <v>468000</v>
      </c>
      <c r="S6" s="15"/>
      <c r="T6" s="15">
        <f t="shared" ref="T6:X6" si="4">O6*18%</f>
        <v>0</v>
      </c>
      <c r="U6" s="15">
        <f t="shared" si="4"/>
        <v>0</v>
      </c>
      <c r="V6" s="15">
        <f t="shared" si="4"/>
        <v>168480</v>
      </c>
      <c r="W6" s="15">
        <f t="shared" si="4"/>
        <v>84240</v>
      </c>
      <c r="X6" s="15">
        <f t="shared" si="4"/>
        <v>0</v>
      </c>
      <c r="Y6" s="15">
        <v>9204</v>
      </c>
      <c r="Z6" s="33">
        <f t="shared" si="1"/>
        <v>4526554</v>
      </c>
      <c r="AA6" s="15">
        <f t="shared" si="2"/>
        <v>1456630</v>
      </c>
      <c r="AB6" s="34">
        <f t="shared" si="3"/>
        <v>-120630</v>
      </c>
      <c r="AC6" s="14"/>
    </row>
    <row r="7" customHeight="1" spans="1:29">
      <c r="A7" s="14">
        <v>3</v>
      </c>
      <c r="B7" s="14" t="s">
        <v>40</v>
      </c>
      <c r="C7" s="14">
        <v>18</v>
      </c>
      <c r="D7" s="15">
        <v>7500000</v>
      </c>
      <c r="E7" s="16"/>
      <c r="F7" s="16"/>
      <c r="G7" s="16"/>
      <c r="H7" s="16"/>
      <c r="I7" s="21">
        <v>2525000</v>
      </c>
      <c r="J7" s="21">
        <v>3610000</v>
      </c>
      <c r="K7" s="15"/>
      <c r="L7" s="15"/>
      <c r="M7" s="15">
        <v>0</v>
      </c>
      <c r="N7" s="15">
        <f>887500+887500+887500</f>
        <v>2662500</v>
      </c>
      <c r="O7" s="15"/>
      <c r="P7" s="15"/>
      <c r="Q7" s="15"/>
      <c r="R7" s="15">
        <v>0</v>
      </c>
      <c r="S7" s="15">
        <f>887500+887500+887500</f>
        <v>2662500</v>
      </c>
      <c r="T7" s="15"/>
      <c r="U7" s="15"/>
      <c r="V7" s="15"/>
      <c r="W7" s="15">
        <f>R7*18%</f>
        <v>0</v>
      </c>
      <c r="X7" s="15">
        <f>S7*18%</f>
        <v>479250</v>
      </c>
      <c r="Y7" s="15">
        <v>0</v>
      </c>
      <c r="Z7" s="33">
        <f t="shared" si="1"/>
        <v>6135000</v>
      </c>
      <c r="AA7" s="15">
        <f t="shared" si="2"/>
        <v>330750</v>
      </c>
      <c r="AB7" s="34">
        <f t="shared" si="3"/>
        <v>1844250</v>
      </c>
      <c r="AC7" s="14"/>
    </row>
    <row r="8" customHeight="1" spans="1:29">
      <c r="A8" s="14">
        <v>4</v>
      </c>
      <c r="B8" s="14" t="s">
        <v>25</v>
      </c>
      <c r="C8" s="14">
        <v>19</v>
      </c>
      <c r="D8" s="15">
        <v>4500000</v>
      </c>
      <c r="E8" s="16"/>
      <c r="F8" s="16"/>
      <c r="G8" s="16"/>
      <c r="H8" s="16">
        <v>0</v>
      </c>
      <c r="I8" s="21">
        <v>4500000</v>
      </c>
      <c r="J8" s="21"/>
      <c r="K8" s="15">
        <v>0</v>
      </c>
      <c r="L8" s="15">
        <v>512500</v>
      </c>
      <c r="M8" s="15">
        <v>512500</v>
      </c>
      <c r="N8" s="15">
        <v>512500</v>
      </c>
      <c r="O8" s="15"/>
      <c r="P8" s="15"/>
      <c r="Q8" s="15">
        <v>512500</v>
      </c>
      <c r="R8" s="15">
        <v>512500</v>
      </c>
      <c r="S8" s="15">
        <v>512500</v>
      </c>
      <c r="T8" s="15">
        <f t="shared" ref="T8:X8" si="5">O8*18%</f>
        <v>0</v>
      </c>
      <c r="U8" s="15">
        <f t="shared" si="5"/>
        <v>0</v>
      </c>
      <c r="V8" s="15">
        <f t="shared" si="5"/>
        <v>92250</v>
      </c>
      <c r="W8" s="15">
        <f t="shared" si="5"/>
        <v>92250</v>
      </c>
      <c r="X8" s="15">
        <f t="shared" si="5"/>
        <v>92250</v>
      </c>
      <c r="Y8" s="15">
        <v>0</v>
      </c>
      <c r="Z8" s="33">
        <f t="shared" si="1"/>
        <v>4500000</v>
      </c>
      <c r="AA8" s="15">
        <f t="shared" si="2"/>
        <v>1148250</v>
      </c>
      <c r="AB8" s="34">
        <f t="shared" si="3"/>
        <v>276750</v>
      </c>
      <c r="AC8" s="14"/>
    </row>
    <row r="9" customHeight="1" spans="1:29">
      <c r="A9" s="14">
        <v>5</v>
      </c>
      <c r="B9" s="14" t="s">
        <v>26</v>
      </c>
      <c r="C9" s="14">
        <v>21</v>
      </c>
      <c r="D9" s="15">
        <v>3600000</v>
      </c>
      <c r="E9" s="16">
        <f>25000+150000</f>
        <v>175000</v>
      </c>
      <c r="F9" s="16">
        <f>100000+180000+40000+200000+105000+200000+1200000</f>
        <v>2025000</v>
      </c>
      <c r="G9" s="16">
        <f>200000+150000+300000</f>
        <v>650000</v>
      </c>
      <c r="H9" s="16">
        <f>126000+550000</f>
        <v>676000</v>
      </c>
      <c r="I9" s="21"/>
      <c r="J9" s="21">
        <v>555625</v>
      </c>
      <c r="K9" s="15">
        <v>1800000</v>
      </c>
      <c r="L9" s="15">
        <v>-600000</v>
      </c>
      <c r="M9" s="15"/>
      <c r="N9" s="15">
        <v>600000</v>
      </c>
      <c r="O9" s="15">
        <v>1073000</v>
      </c>
      <c r="P9" s="15">
        <v>127000</v>
      </c>
      <c r="Q9" s="15">
        <v>0</v>
      </c>
      <c r="R9" s="15"/>
      <c r="S9" s="15">
        <f>600000+42372.88</f>
        <v>642372.88</v>
      </c>
      <c r="T9" s="15">
        <f t="shared" ref="T9:X9" si="6">O9*18%</f>
        <v>193140</v>
      </c>
      <c r="U9" s="15">
        <f t="shared" si="6"/>
        <v>22860</v>
      </c>
      <c r="V9" s="15">
        <f t="shared" si="6"/>
        <v>0</v>
      </c>
      <c r="W9" s="15">
        <f t="shared" si="6"/>
        <v>0</v>
      </c>
      <c r="X9" s="15">
        <f t="shared" si="6"/>
        <v>115627.1184</v>
      </c>
      <c r="Y9" s="15">
        <f>10620+9204+75440</f>
        <v>95264</v>
      </c>
      <c r="Z9" s="33">
        <f t="shared" si="1"/>
        <v>4081625</v>
      </c>
      <c r="AA9" s="15">
        <f t="shared" si="2"/>
        <v>12361.0016</v>
      </c>
      <c r="AB9" s="34">
        <f t="shared" si="3"/>
        <v>-54733.8816</v>
      </c>
      <c r="AC9" s="14"/>
    </row>
    <row r="10" customHeight="1" spans="1:29">
      <c r="A10" s="14">
        <v>6</v>
      </c>
      <c r="B10" s="14" t="s">
        <v>27</v>
      </c>
      <c r="C10" s="14">
        <v>22</v>
      </c>
      <c r="D10" s="15">
        <v>3600000</v>
      </c>
      <c r="E10" s="16">
        <f>25000+200000</f>
        <v>225000</v>
      </c>
      <c r="F10" s="16">
        <f>250000+200000</f>
        <v>450000</v>
      </c>
      <c r="G10" s="16">
        <f>460000+2400000</f>
        <v>2860000</v>
      </c>
      <c r="H10" s="16">
        <f>480000+101263</f>
        <v>581263</v>
      </c>
      <c r="I10" s="21">
        <v>7500</v>
      </c>
      <c r="J10" s="21">
        <v>7500</v>
      </c>
      <c r="K10" s="15">
        <v>1800000</v>
      </c>
      <c r="L10" s="15"/>
      <c r="M10" s="15"/>
      <c r="N10" s="15"/>
      <c r="O10" s="15">
        <v>1073000</v>
      </c>
      <c r="P10" s="15">
        <v>127000</v>
      </c>
      <c r="Q10" s="15">
        <v>600000</v>
      </c>
      <c r="R10" s="15"/>
      <c r="S10" s="15"/>
      <c r="T10" s="15">
        <f t="shared" ref="T10:X10" si="7">O10*18%</f>
        <v>193140</v>
      </c>
      <c r="U10" s="15">
        <f t="shared" si="7"/>
        <v>22860</v>
      </c>
      <c r="V10" s="15">
        <f t="shared" si="7"/>
        <v>108000</v>
      </c>
      <c r="W10" s="15">
        <f t="shared" si="7"/>
        <v>0</v>
      </c>
      <c r="X10" s="15">
        <f t="shared" si="7"/>
        <v>0</v>
      </c>
      <c r="Y10" s="15">
        <f>1800+133850+390+30000+50+16709+9375+3750+3839+7500</f>
        <v>207263</v>
      </c>
      <c r="Z10" s="33">
        <f t="shared" si="1"/>
        <v>4131263</v>
      </c>
      <c r="AA10" s="15">
        <f t="shared" si="2"/>
        <v>0</v>
      </c>
      <c r="AB10" s="34">
        <f t="shared" si="3"/>
        <v>0</v>
      </c>
      <c r="AC10" s="14" t="s">
        <v>75</v>
      </c>
    </row>
    <row r="11" customHeight="1" spans="1:29">
      <c r="A11" s="14">
        <v>7</v>
      </c>
      <c r="B11" s="14" t="s">
        <v>43</v>
      </c>
      <c r="C11" s="14">
        <v>24</v>
      </c>
      <c r="D11" s="15">
        <v>6000000</v>
      </c>
      <c r="E11" s="16"/>
      <c r="F11" s="16"/>
      <c r="G11" s="16"/>
      <c r="H11" s="16"/>
      <c r="I11" s="21">
        <v>6245000</v>
      </c>
      <c r="J11" s="21"/>
      <c r="K11" s="15"/>
      <c r="L11" s="15"/>
      <c r="M11" s="15">
        <v>1400000</v>
      </c>
      <c r="N11" s="15">
        <v>700000</v>
      </c>
      <c r="O11" s="15"/>
      <c r="P11" s="15"/>
      <c r="Q11" s="15"/>
      <c r="R11" s="15">
        <v>1400000</v>
      </c>
      <c r="S11" s="15">
        <v>700000</v>
      </c>
      <c r="T11" s="15"/>
      <c r="U11" s="15"/>
      <c r="V11" s="15"/>
      <c r="W11" s="15">
        <f>R11*18%</f>
        <v>252000</v>
      </c>
      <c r="X11" s="15">
        <f>S11*18%</f>
        <v>126000</v>
      </c>
      <c r="Y11" s="15">
        <v>0</v>
      </c>
      <c r="Z11" s="33">
        <f t="shared" si="1"/>
        <v>6245000</v>
      </c>
      <c r="AA11" s="15">
        <f t="shared" si="2"/>
        <v>1667000</v>
      </c>
      <c r="AB11" s="34">
        <f t="shared" si="3"/>
        <v>133000</v>
      </c>
      <c r="AC11" s="14"/>
    </row>
    <row r="12" customHeight="1" spans="1:29">
      <c r="A12" s="14">
        <v>8</v>
      </c>
      <c r="B12" s="14" t="s">
        <v>25</v>
      </c>
      <c r="C12" s="14">
        <v>25</v>
      </c>
      <c r="D12" s="15">
        <v>4500000</v>
      </c>
      <c r="E12" s="16"/>
      <c r="F12" s="16"/>
      <c r="G12" s="16"/>
      <c r="H12" s="16"/>
      <c r="I12" s="16">
        <v>4500000</v>
      </c>
      <c r="J12" s="21"/>
      <c r="K12" s="15"/>
      <c r="L12" s="15">
        <v>512500</v>
      </c>
      <c r="M12" s="15">
        <v>512500</v>
      </c>
      <c r="N12" s="15">
        <v>512500</v>
      </c>
      <c r="O12" s="15"/>
      <c r="P12" s="15"/>
      <c r="Q12" s="15">
        <v>512500</v>
      </c>
      <c r="R12" s="15">
        <v>512500</v>
      </c>
      <c r="S12" s="15">
        <v>512500</v>
      </c>
      <c r="T12" s="15">
        <f t="shared" ref="T12:X12" si="8">O12*18%</f>
        <v>0</v>
      </c>
      <c r="U12" s="15">
        <f t="shared" si="8"/>
        <v>0</v>
      </c>
      <c r="V12" s="15">
        <f t="shared" si="8"/>
        <v>92250</v>
      </c>
      <c r="W12" s="15">
        <f t="shared" si="8"/>
        <v>92250</v>
      </c>
      <c r="X12" s="15">
        <f t="shared" si="8"/>
        <v>92250</v>
      </c>
      <c r="Y12" s="15"/>
      <c r="Z12" s="33">
        <f t="shared" si="1"/>
        <v>4500000</v>
      </c>
      <c r="AA12" s="15">
        <f t="shared" si="2"/>
        <v>1148250</v>
      </c>
      <c r="AB12" s="34">
        <f t="shared" si="3"/>
        <v>276750</v>
      </c>
      <c r="AC12" s="14"/>
    </row>
    <row r="13" customHeight="1" spans="1:29">
      <c r="A13" s="14">
        <v>9</v>
      </c>
      <c r="B13" s="14" t="s">
        <v>28</v>
      </c>
      <c r="C13" s="14">
        <v>29</v>
      </c>
      <c r="D13" s="15">
        <v>4200000</v>
      </c>
      <c r="E13" s="16">
        <v>0</v>
      </c>
      <c r="F13" s="16">
        <v>0</v>
      </c>
      <c r="G13" s="16">
        <f>225000+630000+943500</f>
        <v>1798500</v>
      </c>
      <c r="H13" s="16">
        <f>943500+629000</f>
        <v>1572500</v>
      </c>
      <c r="I13" s="21">
        <f>200000+100000+345000+378000+184000</f>
        <v>1207000</v>
      </c>
      <c r="J13" s="21">
        <v>81508</v>
      </c>
      <c r="K13" s="15"/>
      <c r="L13" s="15">
        <v>1425000</v>
      </c>
      <c r="M13" s="15"/>
      <c r="N13" s="15">
        <v>675000</v>
      </c>
      <c r="O13" s="15"/>
      <c r="P13" s="15">
        <f>950000</f>
        <v>950000</v>
      </c>
      <c r="Q13" s="15">
        <v>475000</v>
      </c>
      <c r="R13" s="15"/>
      <c r="S13" s="15">
        <f>475000+200000+16262</f>
        <v>691262</v>
      </c>
      <c r="T13" s="15">
        <f t="shared" ref="T13:X13" si="9">O13*18%</f>
        <v>0</v>
      </c>
      <c r="U13" s="15">
        <f t="shared" si="9"/>
        <v>171000</v>
      </c>
      <c r="V13" s="15">
        <f t="shared" si="9"/>
        <v>85500</v>
      </c>
      <c r="W13" s="15">
        <f t="shared" si="9"/>
        <v>0</v>
      </c>
      <c r="X13" s="15">
        <f t="shared" si="9"/>
        <v>124427.16</v>
      </c>
      <c r="Y13" s="15">
        <f>9204+53115</f>
        <v>62319</v>
      </c>
      <c r="Z13" s="33">
        <f t="shared" si="1"/>
        <v>4659508</v>
      </c>
      <c r="AA13" s="15">
        <f t="shared" si="2"/>
        <v>-0.159999999988941</v>
      </c>
      <c r="AB13" s="34">
        <f t="shared" si="3"/>
        <v>-16261.84</v>
      </c>
      <c r="AC13" s="14"/>
    </row>
    <row r="14" customHeight="1" spans="1:29">
      <c r="A14" s="14">
        <v>10</v>
      </c>
      <c r="B14" s="14" t="s">
        <v>29</v>
      </c>
      <c r="C14" s="14">
        <v>30</v>
      </c>
      <c r="D14" s="15">
        <v>3700000</v>
      </c>
      <c r="E14" s="16">
        <f t="shared" ref="E14:E19" si="10">25000+200000</f>
        <v>225000</v>
      </c>
      <c r="F14" s="16">
        <f>400000+155000+816000+816000</f>
        <v>2187000</v>
      </c>
      <c r="G14" s="16">
        <v>0</v>
      </c>
      <c r="H14" s="16">
        <f>544000+544000</f>
        <v>1088000</v>
      </c>
      <c r="I14" s="21">
        <f>200000+253000+130894</f>
        <v>583894</v>
      </c>
      <c r="J14" s="21">
        <v>18550</v>
      </c>
      <c r="K14" s="15">
        <v>1596000</v>
      </c>
      <c r="L14" s="15">
        <v>-358500</v>
      </c>
      <c r="M14" s="15">
        <v>612500</v>
      </c>
      <c r="N14" s="15"/>
      <c r="O14" s="15"/>
      <c r="P14" s="15">
        <f>562000+263000+412500</f>
        <v>1237500</v>
      </c>
      <c r="Q14" s="15">
        <v>0</v>
      </c>
      <c r="R14" s="15">
        <f>612500</f>
        <v>612500</v>
      </c>
      <c r="S14" s="15"/>
      <c r="T14" s="15">
        <f t="shared" ref="T14:X14" si="11">O14*18%</f>
        <v>0</v>
      </c>
      <c r="U14" s="15">
        <f t="shared" si="11"/>
        <v>222750</v>
      </c>
      <c r="V14" s="15">
        <f t="shared" si="11"/>
        <v>0</v>
      </c>
      <c r="W14" s="15">
        <f t="shared" si="11"/>
        <v>110250</v>
      </c>
      <c r="X14" s="15">
        <f t="shared" si="11"/>
        <v>0</v>
      </c>
      <c r="Y14" s="15">
        <f>9204+41690+18550</f>
        <v>69444</v>
      </c>
      <c r="Z14" s="33">
        <f t="shared" si="1"/>
        <v>4102444</v>
      </c>
      <c r="AA14" s="15">
        <f t="shared" si="2"/>
        <v>0</v>
      </c>
      <c r="AB14" s="34">
        <f t="shared" si="3"/>
        <v>0</v>
      </c>
      <c r="AC14" s="14" t="s">
        <v>75</v>
      </c>
    </row>
    <row r="15" customHeight="1" spans="1:29">
      <c r="A15" s="14">
        <v>11</v>
      </c>
      <c r="B15" s="14" t="s">
        <v>30</v>
      </c>
      <c r="C15" s="14">
        <v>31</v>
      </c>
      <c r="D15" s="15">
        <v>4200000</v>
      </c>
      <c r="E15" s="16">
        <v>0</v>
      </c>
      <c r="F15" s="16">
        <v>0</v>
      </c>
      <c r="G15" s="16">
        <f>225000</f>
        <v>225000</v>
      </c>
      <c r="H15" s="16">
        <f>630000+2496000</f>
        <v>3126000</v>
      </c>
      <c r="I15" s="21">
        <v>0</v>
      </c>
      <c r="J15" s="21">
        <v>1079000</v>
      </c>
      <c r="K15" s="15"/>
      <c r="L15" s="15">
        <v>1425000</v>
      </c>
      <c r="M15" s="15"/>
      <c r="N15" s="15">
        <v>475000</v>
      </c>
      <c r="O15" s="15"/>
      <c r="P15" s="15">
        <f>475000+475000</f>
        <v>950000</v>
      </c>
      <c r="Q15" s="15">
        <v>475000</v>
      </c>
      <c r="R15" s="15"/>
      <c r="S15" s="15">
        <v>475000</v>
      </c>
      <c r="T15" s="15">
        <f t="shared" ref="T15:X15" si="12">O15*18%</f>
        <v>0</v>
      </c>
      <c r="U15" s="15">
        <f t="shared" si="12"/>
        <v>171000</v>
      </c>
      <c r="V15" s="15">
        <f t="shared" si="12"/>
        <v>85500</v>
      </c>
      <c r="W15" s="15">
        <f t="shared" si="12"/>
        <v>0</v>
      </c>
      <c r="X15" s="15">
        <f t="shared" si="12"/>
        <v>85500</v>
      </c>
      <c r="Y15" s="15">
        <v>9204</v>
      </c>
      <c r="Z15" s="33">
        <f t="shared" si="1"/>
        <v>4430000</v>
      </c>
      <c r="AA15" s="15">
        <f t="shared" si="2"/>
        <v>278796</v>
      </c>
      <c r="AB15" s="34">
        <f t="shared" si="3"/>
        <v>121204</v>
      </c>
      <c r="AC15" s="14"/>
    </row>
    <row r="16" customHeight="1" spans="1:29">
      <c r="A16" s="14">
        <v>12</v>
      </c>
      <c r="B16" s="14" t="s">
        <v>31</v>
      </c>
      <c r="C16" s="14">
        <v>32</v>
      </c>
      <c r="D16" s="15">
        <v>5325000</v>
      </c>
      <c r="E16" s="16">
        <f t="shared" si="10"/>
        <v>225000</v>
      </c>
      <c r="F16" s="16">
        <f>300000+480000</f>
        <v>780000</v>
      </c>
      <c r="G16" s="16">
        <f>1080000+108816+250000+250000+673625+2662500</f>
        <v>5024941</v>
      </c>
      <c r="H16" s="16">
        <v>0</v>
      </c>
      <c r="I16" s="21">
        <v>91796</v>
      </c>
      <c r="J16" s="21"/>
      <c r="K16" s="15">
        <v>2662500</v>
      </c>
      <c r="L16" s="15">
        <v>-815625</v>
      </c>
      <c r="M16" s="15">
        <v>574168</v>
      </c>
      <c r="N16" s="15"/>
      <c r="O16" s="15">
        <v>1642250</v>
      </c>
      <c r="P16" s="15">
        <v>204625</v>
      </c>
      <c r="Q16" s="15">
        <v>0</v>
      </c>
      <c r="R16" s="15">
        <v>1020250</v>
      </c>
      <c r="S16" s="15"/>
      <c r="T16" s="15">
        <f t="shared" ref="T16:X16" si="13">O16*18%</f>
        <v>295605</v>
      </c>
      <c r="U16" s="15">
        <f t="shared" si="13"/>
        <v>36832.5</v>
      </c>
      <c r="V16" s="15">
        <f t="shared" si="13"/>
        <v>0</v>
      </c>
      <c r="W16" s="15">
        <f t="shared" si="13"/>
        <v>183645</v>
      </c>
      <c r="X16" s="15">
        <f t="shared" si="13"/>
        <v>0</v>
      </c>
      <c r="Y16" s="15">
        <f>196897+30000+21110+390+67686+1404</f>
        <v>317487</v>
      </c>
      <c r="Z16" s="33">
        <f t="shared" si="1"/>
        <v>6121737</v>
      </c>
      <c r="AA16" s="15">
        <f t="shared" si="2"/>
        <v>-0.5</v>
      </c>
      <c r="AB16" s="34">
        <f t="shared" si="3"/>
        <v>36832.5</v>
      </c>
      <c r="AC16" s="14" t="s">
        <v>75</v>
      </c>
    </row>
    <row r="17" s="3" customFormat="1" customHeight="1" spans="1:29">
      <c r="A17" s="14">
        <v>13</v>
      </c>
      <c r="B17" s="14" t="s">
        <v>32</v>
      </c>
      <c r="C17" s="14">
        <v>33</v>
      </c>
      <c r="D17" s="15">
        <v>4250000</v>
      </c>
      <c r="E17" s="16">
        <v>0</v>
      </c>
      <c r="F17" s="16">
        <v>0</v>
      </c>
      <c r="G17" s="16">
        <f>250000</f>
        <v>250000</v>
      </c>
      <c r="H17" s="16">
        <f>605000+956250+1356554+637500</f>
        <v>3555304</v>
      </c>
      <c r="I17" s="21">
        <f>837500+55670</f>
        <v>893170</v>
      </c>
      <c r="J17" s="21"/>
      <c r="K17" s="15">
        <v>0</v>
      </c>
      <c r="L17" s="15">
        <v>1443750</v>
      </c>
      <c r="M17" s="15">
        <v>681250</v>
      </c>
      <c r="N17" s="15"/>
      <c r="O17" s="15"/>
      <c r="P17" s="15">
        <v>0</v>
      </c>
      <c r="Q17" s="15">
        <f>481250+481250+481250</f>
        <v>1443750</v>
      </c>
      <c r="R17" s="15">
        <v>681250</v>
      </c>
      <c r="S17" s="15"/>
      <c r="T17" s="15">
        <f t="shared" ref="T17:X17" si="14">O17*18%</f>
        <v>0</v>
      </c>
      <c r="U17" s="15">
        <f t="shared" si="14"/>
        <v>0</v>
      </c>
      <c r="V17" s="15">
        <f t="shared" si="14"/>
        <v>259875</v>
      </c>
      <c r="W17" s="15">
        <f t="shared" si="14"/>
        <v>122625</v>
      </c>
      <c r="X17" s="15">
        <f t="shared" si="14"/>
        <v>0</v>
      </c>
      <c r="Y17" s="15">
        <f>9204+41300+15080+390</f>
        <v>65974</v>
      </c>
      <c r="Z17" s="33">
        <f t="shared" si="1"/>
        <v>4698474</v>
      </c>
      <c r="AA17" s="15">
        <f t="shared" si="2"/>
        <v>0</v>
      </c>
      <c r="AB17" s="34">
        <f t="shared" si="3"/>
        <v>0</v>
      </c>
      <c r="AC17" s="14" t="s">
        <v>77</v>
      </c>
    </row>
    <row r="18" s="3" customFormat="1" customHeight="1" spans="1:29">
      <c r="A18" s="14">
        <v>14</v>
      </c>
      <c r="B18" s="14" t="s">
        <v>33</v>
      </c>
      <c r="C18" s="14">
        <v>34</v>
      </c>
      <c r="D18" s="15">
        <v>3750000</v>
      </c>
      <c r="E18" s="16">
        <f>250000+250000+200000</f>
        <v>700000</v>
      </c>
      <c r="F18" s="16">
        <v>0</v>
      </c>
      <c r="G18" s="16">
        <v>0</v>
      </c>
      <c r="H18" s="16">
        <f>917000+828000+527500</f>
        <v>2272500</v>
      </c>
      <c r="I18" s="21">
        <f>525500+539500+123346</f>
        <v>1188346</v>
      </c>
      <c r="J18" s="21"/>
      <c r="K18" s="15">
        <v>787500</v>
      </c>
      <c r="L18" s="15">
        <v>468750</v>
      </c>
      <c r="M18" s="15">
        <v>618750</v>
      </c>
      <c r="N18" s="15"/>
      <c r="O18" s="15"/>
      <c r="P18" s="15"/>
      <c r="Q18" s="15">
        <f>481250+481250+481250-187500</f>
        <v>1256250</v>
      </c>
      <c r="R18" s="15">
        <f>618750</f>
        <v>618750</v>
      </c>
      <c r="S18" s="15"/>
      <c r="T18" s="15">
        <f t="shared" ref="T18:X18" si="15">O18*18%</f>
        <v>0</v>
      </c>
      <c r="U18" s="15">
        <f t="shared" si="15"/>
        <v>0</v>
      </c>
      <c r="V18" s="15">
        <f t="shared" si="15"/>
        <v>226125</v>
      </c>
      <c r="W18" s="15">
        <f t="shared" si="15"/>
        <v>111375</v>
      </c>
      <c r="X18" s="15">
        <f t="shared" si="15"/>
        <v>0</v>
      </c>
      <c r="Y18" s="15">
        <f>9204+41690+22452</f>
        <v>73346</v>
      </c>
      <c r="Z18" s="33">
        <f t="shared" si="1"/>
        <v>4160846</v>
      </c>
      <c r="AA18" s="15">
        <f t="shared" si="2"/>
        <v>0</v>
      </c>
      <c r="AB18" s="34">
        <f t="shared" si="3"/>
        <v>0</v>
      </c>
      <c r="AC18" s="14" t="s">
        <v>75</v>
      </c>
    </row>
    <row r="19" s="3" customFormat="1" customHeight="1" spans="1:29">
      <c r="A19" s="14">
        <v>15</v>
      </c>
      <c r="B19" s="14" t="s">
        <v>34</v>
      </c>
      <c r="C19" s="14">
        <v>35</v>
      </c>
      <c r="D19" s="15">
        <v>3700000</v>
      </c>
      <c r="E19" s="16">
        <f t="shared" si="10"/>
        <v>225000</v>
      </c>
      <c r="F19" s="16">
        <f>275000+1912000</f>
        <v>2187000</v>
      </c>
      <c r="G19" s="16">
        <v>544000</v>
      </c>
      <c r="H19" s="16">
        <f>284000+250000</f>
        <v>534000</v>
      </c>
      <c r="I19" s="21">
        <v>50000</v>
      </c>
      <c r="J19" s="21">
        <v>333000</v>
      </c>
      <c r="K19" s="15">
        <v>1850000</v>
      </c>
      <c r="L19" s="15">
        <v>-612500</v>
      </c>
      <c r="M19" s="15">
        <v>0</v>
      </c>
      <c r="N19" s="15"/>
      <c r="O19" s="15">
        <v>1106000</v>
      </c>
      <c r="P19" s="15">
        <f>53437+78063</f>
        <v>131500</v>
      </c>
      <c r="Q19" s="15">
        <v>0</v>
      </c>
      <c r="R19" s="15"/>
      <c r="S19" s="15"/>
      <c r="T19" s="15">
        <f t="shared" ref="T19:V19" si="16">O19*18%</f>
        <v>199080</v>
      </c>
      <c r="U19" s="15">
        <f t="shared" si="16"/>
        <v>23670</v>
      </c>
      <c r="V19" s="15">
        <f t="shared" si="16"/>
        <v>0</v>
      </c>
      <c r="W19" s="15">
        <v>0</v>
      </c>
      <c r="X19" s="15">
        <f>S19*18%</f>
        <v>0</v>
      </c>
      <c r="Y19" s="15">
        <v>9204</v>
      </c>
      <c r="Z19" s="33">
        <f t="shared" si="1"/>
        <v>3873000</v>
      </c>
      <c r="AA19" s="15">
        <f t="shared" si="2"/>
        <v>1166046</v>
      </c>
      <c r="AB19" s="34">
        <f t="shared" si="3"/>
        <v>58954</v>
      </c>
      <c r="AC19" s="14"/>
    </row>
    <row r="20" s="3" customFormat="1" customHeight="1" spans="1:29">
      <c r="A20" s="14">
        <v>16</v>
      </c>
      <c r="B20" s="14" t="s">
        <v>35</v>
      </c>
      <c r="C20" s="14">
        <v>37</v>
      </c>
      <c r="D20" s="15">
        <v>3700000</v>
      </c>
      <c r="E20" s="16">
        <f>25000+200000+555000</f>
        <v>780000</v>
      </c>
      <c r="F20" s="16">
        <f>200000+600000+600000</f>
        <v>1400000</v>
      </c>
      <c r="G20" s="16">
        <f>500000+200000</f>
        <v>700000</v>
      </c>
      <c r="H20" s="16">
        <v>400000</v>
      </c>
      <c r="I20" s="21">
        <f>100000+200000</f>
        <v>300000</v>
      </c>
      <c r="J20" s="21">
        <v>552080</v>
      </c>
      <c r="K20" s="15">
        <v>1850000</v>
      </c>
      <c r="L20" s="15">
        <v>-612500</v>
      </c>
      <c r="M20" s="15"/>
      <c r="N20" s="15">
        <v>612500</v>
      </c>
      <c r="O20" s="15">
        <f>1106000-281000</f>
        <v>825000</v>
      </c>
      <c r="P20" s="15">
        <f>412500</f>
        <v>412500</v>
      </c>
      <c r="Q20" s="15">
        <v>0</v>
      </c>
      <c r="R20" s="15"/>
      <c r="S20" s="25">
        <f>12240+612500</f>
        <v>624740</v>
      </c>
      <c r="T20" s="15">
        <f t="shared" ref="T20:X20" si="17">O20*18%</f>
        <v>148500</v>
      </c>
      <c r="U20" s="15">
        <f t="shared" si="17"/>
        <v>74250</v>
      </c>
      <c r="V20" s="15">
        <f t="shared" si="17"/>
        <v>0</v>
      </c>
      <c r="W20" s="15">
        <f t="shared" si="17"/>
        <v>0</v>
      </c>
      <c r="X20" s="15">
        <f t="shared" si="17"/>
        <v>112453.2</v>
      </c>
      <c r="Y20" s="15">
        <v>84998</v>
      </c>
      <c r="Z20" s="33">
        <f t="shared" si="1"/>
        <v>4132080</v>
      </c>
      <c r="AA20" s="15">
        <f t="shared" si="2"/>
        <v>-361.199999999997</v>
      </c>
      <c r="AB20" s="34">
        <f t="shared" si="3"/>
        <v>-11878.8</v>
      </c>
      <c r="AC20" s="14"/>
    </row>
    <row r="21" s="3" customFormat="1" customHeight="1" spans="1:29">
      <c r="A21" s="14">
        <v>17</v>
      </c>
      <c r="B21" s="14" t="s">
        <v>36</v>
      </c>
      <c r="C21" s="14">
        <v>38</v>
      </c>
      <c r="D21" s="15">
        <v>4000000</v>
      </c>
      <c r="E21" s="16">
        <v>0</v>
      </c>
      <c r="F21" s="16">
        <v>0</v>
      </c>
      <c r="G21" s="16">
        <v>225000</v>
      </c>
      <c r="H21" s="16">
        <f>1790000+892500</f>
        <v>2682500</v>
      </c>
      <c r="I21" s="21">
        <v>600000</v>
      </c>
      <c r="J21" s="21"/>
      <c r="K21" s="15"/>
      <c r="L21" s="15">
        <v>1350000</v>
      </c>
      <c r="M21" s="15"/>
      <c r="N21" s="15"/>
      <c r="O21" s="15"/>
      <c r="P21" s="15">
        <f>543750-93750</f>
        <v>450000</v>
      </c>
      <c r="Q21" s="15">
        <f>450000+450000</f>
        <v>900000</v>
      </c>
      <c r="R21" s="15"/>
      <c r="S21" s="15"/>
      <c r="T21" s="15">
        <f t="shared" ref="T21:X21" si="18">O21*18%</f>
        <v>0</v>
      </c>
      <c r="U21" s="15">
        <f t="shared" si="18"/>
        <v>81000</v>
      </c>
      <c r="V21" s="15">
        <f t="shared" si="18"/>
        <v>162000</v>
      </c>
      <c r="W21" s="15">
        <f t="shared" si="18"/>
        <v>0</v>
      </c>
      <c r="X21" s="15">
        <f t="shared" si="18"/>
        <v>0</v>
      </c>
      <c r="Y21" s="15">
        <v>0</v>
      </c>
      <c r="Z21" s="33">
        <f t="shared" si="1"/>
        <v>3507500</v>
      </c>
      <c r="AA21" s="15">
        <f t="shared" si="2"/>
        <v>564500</v>
      </c>
      <c r="AB21" s="34">
        <f t="shared" si="3"/>
        <v>735500</v>
      </c>
      <c r="AC21" s="14"/>
    </row>
    <row r="22" s="3" customFormat="1" customHeight="1" spans="1:29">
      <c r="A22" s="14">
        <v>18</v>
      </c>
      <c r="B22" s="14" t="s">
        <v>37</v>
      </c>
      <c r="C22" s="14">
        <v>39</v>
      </c>
      <c r="D22" s="15">
        <v>3750000</v>
      </c>
      <c r="E22" s="16">
        <v>0</v>
      </c>
      <c r="F22" s="16">
        <v>0</v>
      </c>
      <c r="G22" s="16">
        <f>225000+940000</f>
        <v>1165000</v>
      </c>
      <c r="H22" s="16">
        <f>500000+500000+500000</f>
        <v>1500000</v>
      </c>
      <c r="I22" s="21">
        <f>300000+250000</f>
        <v>550000</v>
      </c>
      <c r="J22" s="21">
        <f>216000+319000</f>
        <v>535000</v>
      </c>
      <c r="K22" s="15"/>
      <c r="L22" s="15">
        <v>1256250</v>
      </c>
      <c r="M22" s="15"/>
      <c r="N22" s="15"/>
      <c r="O22" s="15"/>
      <c r="P22" s="15">
        <f>418750</f>
        <v>418750</v>
      </c>
      <c r="Q22" s="15">
        <f>418750+418750</f>
        <v>837500</v>
      </c>
      <c r="R22" s="15"/>
      <c r="S22" s="15"/>
      <c r="T22" s="15">
        <f t="shared" ref="T22:X22" si="19">O22*18%</f>
        <v>0</v>
      </c>
      <c r="U22" s="15">
        <f t="shared" si="19"/>
        <v>75375</v>
      </c>
      <c r="V22" s="15">
        <f t="shared" si="19"/>
        <v>150750</v>
      </c>
      <c r="W22" s="15">
        <f t="shared" si="19"/>
        <v>0</v>
      </c>
      <c r="X22" s="15">
        <f t="shared" si="19"/>
        <v>0</v>
      </c>
      <c r="Y22" s="15">
        <v>0</v>
      </c>
      <c r="Z22" s="33">
        <f t="shared" si="1"/>
        <v>3750000</v>
      </c>
      <c r="AA22" s="15">
        <f t="shared" si="2"/>
        <v>1011375</v>
      </c>
      <c r="AB22" s="34">
        <f t="shared" si="3"/>
        <v>226125</v>
      </c>
      <c r="AC22" s="14"/>
    </row>
    <row r="23" s="3" customFormat="1" customHeight="1" spans="1:29">
      <c r="A23" s="14">
        <v>19</v>
      </c>
      <c r="B23" s="14" t="s">
        <v>38</v>
      </c>
      <c r="C23" s="14">
        <v>40</v>
      </c>
      <c r="D23" s="15">
        <v>5944000</v>
      </c>
      <c r="E23" s="16">
        <v>0</v>
      </c>
      <c r="F23" s="16">
        <v>0</v>
      </c>
      <c r="G23" s="16">
        <v>625000</v>
      </c>
      <c r="H23" s="16">
        <f>1200000+400000+500000+500000+500000</f>
        <v>3100000</v>
      </c>
      <c r="I23" s="21">
        <v>500000</v>
      </c>
      <c r="J23" s="21">
        <v>1500000</v>
      </c>
      <c r="K23" s="15">
        <v>0</v>
      </c>
      <c r="L23" s="15">
        <v>1386000</v>
      </c>
      <c r="M23" s="15">
        <v>693000</v>
      </c>
      <c r="N23" s="15"/>
      <c r="O23" s="15"/>
      <c r="P23" s="15"/>
      <c r="Q23" s="15">
        <v>1386000</v>
      </c>
      <c r="R23" s="15">
        <v>693000</v>
      </c>
      <c r="S23" s="15"/>
      <c r="T23" s="15">
        <f t="shared" ref="T23:X23" si="20">O23*18%</f>
        <v>0</v>
      </c>
      <c r="U23" s="15">
        <f t="shared" si="20"/>
        <v>0</v>
      </c>
      <c r="V23" s="15">
        <f t="shared" si="20"/>
        <v>249480</v>
      </c>
      <c r="W23" s="15">
        <f t="shared" si="20"/>
        <v>124740</v>
      </c>
      <c r="X23" s="15">
        <f t="shared" si="20"/>
        <v>0</v>
      </c>
      <c r="Y23" s="15">
        <v>0</v>
      </c>
      <c r="Z23" s="33">
        <f t="shared" si="1"/>
        <v>5725000</v>
      </c>
      <c r="AA23" s="15">
        <f t="shared" si="2"/>
        <v>1192780</v>
      </c>
      <c r="AB23" s="34">
        <f t="shared" si="3"/>
        <v>593220</v>
      </c>
      <c r="AC23" s="14"/>
    </row>
    <row r="24" s="3" customFormat="1" customHeight="1" spans="1:29">
      <c r="A24" s="14">
        <v>20</v>
      </c>
      <c r="B24" s="14" t="s">
        <v>39</v>
      </c>
      <c r="C24" s="14">
        <v>41</v>
      </c>
      <c r="D24" s="15">
        <v>3994000</v>
      </c>
      <c r="E24" s="16">
        <v>0</v>
      </c>
      <c r="F24" s="16">
        <f>25000+200000+200000</f>
        <v>425000</v>
      </c>
      <c r="G24" s="16">
        <f>100000+300000+890000+891040</f>
        <v>2181040</v>
      </c>
      <c r="H24" s="16">
        <f>593980+300000</f>
        <v>893980</v>
      </c>
      <c r="I24" s="21">
        <f>295000+542649+29980</f>
        <v>867629</v>
      </c>
      <c r="J24" s="21"/>
      <c r="K24" s="15">
        <v>225000</v>
      </c>
      <c r="L24" s="15">
        <v>1122750</v>
      </c>
      <c r="M24" s="15">
        <v>649250</v>
      </c>
      <c r="N24" s="15"/>
      <c r="O24" s="15"/>
      <c r="P24" s="15">
        <f>449250+449250+449250</f>
        <v>1347750</v>
      </c>
      <c r="Q24" s="15">
        <v>0</v>
      </c>
      <c r="R24" s="15">
        <v>649250</v>
      </c>
      <c r="S24" s="15"/>
      <c r="T24" s="15">
        <f t="shared" ref="T24:X24" si="21">O24*18%</f>
        <v>0</v>
      </c>
      <c r="U24" s="15">
        <f t="shared" si="21"/>
        <v>242595</v>
      </c>
      <c r="V24" s="15">
        <f t="shared" si="21"/>
        <v>0</v>
      </c>
      <c r="W24" s="15">
        <f t="shared" si="21"/>
        <v>116865</v>
      </c>
      <c r="X24" s="15">
        <f t="shared" si="21"/>
        <v>0</v>
      </c>
      <c r="Y24" s="15">
        <f>9204+390+30050-25455</f>
        <v>14189</v>
      </c>
      <c r="Z24" s="33">
        <f t="shared" si="1"/>
        <v>4367649</v>
      </c>
      <c r="AA24" s="15">
        <f t="shared" si="2"/>
        <v>0</v>
      </c>
      <c r="AB24" s="34">
        <f t="shared" si="3"/>
        <v>0</v>
      </c>
      <c r="AC24" s="14" t="s">
        <v>75</v>
      </c>
    </row>
    <row r="25" s="3" customFormat="1" customHeight="1" spans="1:29">
      <c r="A25" s="14">
        <v>21</v>
      </c>
      <c r="B25" s="14" t="s">
        <v>25</v>
      </c>
      <c r="C25" s="14">
        <v>42</v>
      </c>
      <c r="D25" s="15">
        <v>6000000</v>
      </c>
      <c r="E25" s="16"/>
      <c r="F25" s="16"/>
      <c r="G25" s="16"/>
      <c r="H25" s="16"/>
      <c r="I25" s="21">
        <f>1650000+600000+250000+600000+200000+300000+700000+500000+100000+700000+400000+45000</f>
        <v>6045000</v>
      </c>
      <c r="J25" s="21"/>
      <c r="K25" s="15"/>
      <c r="L25" s="15"/>
      <c r="M25" s="15">
        <v>1400000</v>
      </c>
      <c r="N25" s="15">
        <v>700000</v>
      </c>
      <c r="O25" s="15"/>
      <c r="P25" s="15"/>
      <c r="Q25" s="15"/>
      <c r="R25" s="15">
        <v>1400000</v>
      </c>
      <c r="S25" s="15">
        <v>700000</v>
      </c>
      <c r="T25" s="15"/>
      <c r="U25" s="15"/>
      <c r="V25" s="15"/>
      <c r="W25" s="15">
        <f>R25*18%</f>
        <v>252000</v>
      </c>
      <c r="X25" s="15">
        <f>S25*18%</f>
        <v>126000</v>
      </c>
      <c r="Y25" s="15">
        <v>0</v>
      </c>
      <c r="Z25" s="33">
        <f t="shared" si="1"/>
        <v>6045000</v>
      </c>
      <c r="AA25" s="15">
        <f t="shared" si="2"/>
        <v>1467000</v>
      </c>
      <c r="AB25" s="34">
        <f t="shared" si="3"/>
        <v>333000</v>
      </c>
      <c r="AC25" s="14"/>
    </row>
    <row r="26" s="3" customFormat="1" customHeight="1" spans="1:29">
      <c r="A26" s="14">
        <v>22</v>
      </c>
      <c r="B26" s="14" t="s">
        <v>25</v>
      </c>
      <c r="C26" s="14">
        <v>43</v>
      </c>
      <c r="D26" s="15">
        <v>4500000</v>
      </c>
      <c r="E26" s="16"/>
      <c r="F26" s="16"/>
      <c r="G26" s="16"/>
      <c r="H26" s="16"/>
      <c r="I26" s="16">
        <v>4500000</v>
      </c>
      <c r="J26" s="21"/>
      <c r="K26" s="15">
        <v>0</v>
      </c>
      <c r="L26" s="15">
        <v>1025000</v>
      </c>
      <c r="M26" s="15"/>
      <c r="N26" s="15">
        <v>512500</v>
      </c>
      <c r="O26" s="15"/>
      <c r="P26" s="15"/>
      <c r="Q26" s="15">
        <v>1025000</v>
      </c>
      <c r="R26" s="15"/>
      <c r="S26" s="15">
        <v>512500</v>
      </c>
      <c r="T26" s="15">
        <f t="shared" ref="T26:X26" si="22">O26*18%</f>
        <v>0</v>
      </c>
      <c r="U26" s="15">
        <f t="shared" si="22"/>
        <v>0</v>
      </c>
      <c r="V26" s="15">
        <f t="shared" si="22"/>
        <v>184500</v>
      </c>
      <c r="W26" s="15">
        <f t="shared" si="22"/>
        <v>0</v>
      </c>
      <c r="X26" s="15">
        <f t="shared" si="22"/>
        <v>92250</v>
      </c>
      <c r="Y26" s="15">
        <v>0</v>
      </c>
      <c r="Z26" s="33">
        <f t="shared" si="1"/>
        <v>4500000</v>
      </c>
      <c r="AA26" s="15">
        <f t="shared" si="2"/>
        <v>1148250</v>
      </c>
      <c r="AB26" s="34">
        <f t="shared" si="3"/>
        <v>276750</v>
      </c>
      <c r="AC26" s="14"/>
    </row>
    <row r="27" s="3" customFormat="1" customHeight="1" spans="1:29">
      <c r="A27" s="14">
        <v>23</v>
      </c>
      <c r="B27" s="14" t="s">
        <v>25</v>
      </c>
      <c r="C27" s="14">
        <v>45</v>
      </c>
      <c r="D27" s="15">
        <v>6000000</v>
      </c>
      <c r="E27" s="16"/>
      <c r="F27" s="16"/>
      <c r="G27" s="16"/>
      <c r="H27" s="16">
        <v>6000000</v>
      </c>
      <c r="I27" s="21">
        <v>0</v>
      </c>
      <c r="J27" s="21"/>
      <c r="K27" s="15">
        <v>0</v>
      </c>
      <c r="L27" s="15">
        <v>700000</v>
      </c>
      <c r="M27" s="15">
        <v>700000</v>
      </c>
      <c r="N27" s="15"/>
      <c r="O27" s="15"/>
      <c r="P27" s="15"/>
      <c r="Q27" s="15">
        <v>700000</v>
      </c>
      <c r="R27" s="15">
        <v>700000</v>
      </c>
      <c r="S27" s="15"/>
      <c r="T27" s="15">
        <f t="shared" ref="T27:X27" si="23">O27*18%</f>
        <v>0</v>
      </c>
      <c r="U27" s="15">
        <f t="shared" si="23"/>
        <v>0</v>
      </c>
      <c r="V27" s="15">
        <f t="shared" si="23"/>
        <v>126000</v>
      </c>
      <c r="W27" s="15">
        <f t="shared" si="23"/>
        <v>126000</v>
      </c>
      <c r="X27" s="15">
        <f t="shared" si="23"/>
        <v>0</v>
      </c>
      <c r="Y27" s="15">
        <v>0</v>
      </c>
      <c r="Z27" s="33">
        <f t="shared" si="1"/>
        <v>6000000</v>
      </c>
      <c r="AA27" s="15">
        <f t="shared" si="2"/>
        <v>2948000</v>
      </c>
      <c r="AB27" s="34">
        <f t="shared" si="3"/>
        <v>252000</v>
      </c>
      <c r="AC27" s="14"/>
    </row>
    <row r="28" s="3" customFormat="1" customHeight="1" spans="1:29">
      <c r="A28" s="14">
        <v>24</v>
      </c>
      <c r="B28" s="14" t="s">
        <v>82</v>
      </c>
      <c r="C28" s="14">
        <v>45</v>
      </c>
      <c r="D28" s="15">
        <v>8100000</v>
      </c>
      <c r="E28" s="16"/>
      <c r="F28" s="16"/>
      <c r="G28" s="16"/>
      <c r="H28" s="16"/>
      <c r="I28" s="16">
        <f>25000+1415000+500000</f>
        <v>1940000</v>
      </c>
      <c r="J28" s="21">
        <v>59300</v>
      </c>
      <c r="K28" s="15"/>
      <c r="L28" s="15"/>
      <c r="M28" s="15">
        <v>0</v>
      </c>
      <c r="N28" s="15"/>
      <c r="O28" s="15">
        <v>0</v>
      </c>
      <c r="P28" s="15"/>
      <c r="Q28" s="15">
        <v>0</v>
      </c>
      <c r="R28" s="15">
        <v>0</v>
      </c>
      <c r="S28" s="15"/>
      <c r="T28" s="15"/>
      <c r="U28" s="15"/>
      <c r="V28" s="15">
        <f t="shared" ref="V28:X28" si="24">Q28*18%</f>
        <v>0</v>
      </c>
      <c r="W28" s="15">
        <f t="shared" si="24"/>
        <v>0</v>
      </c>
      <c r="X28" s="15">
        <f t="shared" si="24"/>
        <v>0</v>
      </c>
      <c r="Y28" s="15">
        <f>59300+1940000</f>
        <v>1999300</v>
      </c>
      <c r="Z28" s="33">
        <f t="shared" si="1"/>
        <v>1999300</v>
      </c>
      <c r="AA28" s="15">
        <f t="shared" si="2"/>
        <v>0</v>
      </c>
      <c r="AB28" s="34">
        <f t="shared" si="3"/>
        <v>8100000</v>
      </c>
      <c r="AC28" s="14" t="s">
        <v>83</v>
      </c>
    </row>
    <row r="29" s="3" customFormat="1" customHeight="1" spans="1:29">
      <c r="A29" s="14">
        <v>25</v>
      </c>
      <c r="B29" s="14" t="s">
        <v>40</v>
      </c>
      <c r="C29" s="14">
        <v>46</v>
      </c>
      <c r="D29" s="15">
        <v>4800000</v>
      </c>
      <c r="E29" s="16"/>
      <c r="F29" s="16"/>
      <c r="G29" s="16"/>
      <c r="H29" s="16">
        <f>25000+200000+945000+500000+180000+200000</f>
        <v>2050000</v>
      </c>
      <c r="I29" s="21">
        <f>300000+600000</f>
        <v>900000</v>
      </c>
      <c r="J29" s="21">
        <v>1100000</v>
      </c>
      <c r="K29" s="15">
        <v>0</v>
      </c>
      <c r="L29" s="15">
        <v>1100000</v>
      </c>
      <c r="M29" s="15">
        <v>550000</v>
      </c>
      <c r="N29" s="15"/>
      <c r="O29" s="15">
        <v>0</v>
      </c>
      <c r="P29" s="15">
        <v>0</v>
      </c>
      <c r="Q29" s="15">
        <f>1475000-375000</f>
        <v>1100000</v>
      </c>
      <c r="R29" s="15">
        <v>550000</v>
      </c>
      <c r="S29" s="15"/>
      <c r="T29" s="15">
        <f t="shared" ref="T29:X29" si="25">O29*18%</f>
        <v>0</v>
      </c>
      <c r="U29" s="15">
        <f t="shared" si="25"/>
        <v>0</v>
      </c>
      <c r="V29" s="15">
        <f t="shared" si="25"/>
        <v>198000</v>
      </c>
      <c r="W29" s="15">
        <f t="shared" si="25"/>
        <v>99000</v>
      </c>
      <c r="X29" s="15">
        <f t="shared" si="25"/>
        <v>0</v>
      </c>
      <c r="Y29" s="15">
        <v>9204</v>
      </c>
      <c r="Z29" s="33">
        <f t="shared" si="1"/>
        <v>4050000</v>
      </c>
      <c r="AA29" s="15">
        <f t="shared" si="2"/>
        <v>443796</v>
      </c>
      <c r="AB29" s="34">
        <f t="shared" si="3"/>
        <v>1056204</v>
      </c>
      <c r="AC29" s="14"/>
    </row>
    <row r="30" s="3" customFormat="1" customHeight="1" spans="1:29">
      <c r="A30" s="14">
        <v>26</v>
      </c>
      <c r="B30" s="14" t="s">
        <v>41</v>
      </c>
      <c r="C30" s="14">
        <v>48</v>
      </c>
      <c r="D30" s="15">
        <v>3600000</v>
      </c>
      <c r="E30" s="16">
        <f>25000+200000+200000+175000</f>
        <v>600000</v>
      </c>
      <c r="F30" s="16">
        <v>1746000</v>
      </c>
      <c r="G30" s="16">
        <v>527000</v>
      </c>
      <c r="H30" s="16">
        <f>727000+200000</f>
        <v>927000</v>
      </c>
      <c r="I30" s="16">
        <v>200000</v>
      </c>
      <c r="J30" s="21"/>
      <c r="K30" s="15">
        <v>1555500</v>
      </c>
      <c r="L30" s="15">
        <v>-355500</v>
      </c>
      <c r="M30" s="15"/>
      <c r="N30" s="15"/>
      <c r="O30" s="15"/>
      <c r="P30" s="15">
        <f>1073000+127000</f>
        <v>1200000</v>
      </c>
      <c r="Q30" s="15">
        <v>0</v>
      </c>
      <c r="R30" s="15"/>
      <c r="S30" s="15"/>
      <c r="T30" s="15">
        <f t="shared" ref="T30:X30" si="26">O30*18%</f>
        <v>0</v>
      </c>
      <c r="U30" s="15">
        <f t="shared" si="26"/>
        <v>216000</v>
      </c>
      <c r="V30" s="15">
        <f t="shared" si="26"/>
        <v>0</v>
      </c>
      <c r="W30" s="15">
        <f t="shared" si="26"/>
        <v>0</v>
      </c>
      <c r="X30" s="15">
        <f t="shared" si="26"/>
        <v>0</v>
      </c>
      <c r="Y30" s="15">
        <v>135228</v>
      </c>
      <c r="Z30" s="33">
        <f t="shared" si="1"/>
        <v>4000000</v>
      </c>
      <c r="AA30" s="15">
        <f t="shared" si="2"/>
        <v>1248772</v>
      </c>
      <c r="AB30" s="34">
        <f t="shared" si="3"/>
        <v>-48772</v>
      </c>
      <c r="AC30" s="14"/>
    </row>
    <row r="31" s="3" customFormat="1" customHeight="1" spans="1:29">
      <c r="A31" s="14">
        <v>27</v>
      </c>
      <c r="B31" s="14" t="s">
        <v>25</v>
      </c>
      <c r="C31" s="14">
        <v>49</v>
      </c>
      <c r="D31" s="15">
        <v>4500000</v>
      </c>
      <c r="E31" s="16"/>
      <c r="F31" s="16"/>
      <c r="G31" s="16"/>
      <c r="H31" s="16"/>
      <c r="I31" s="21">
        <v>6000000</v>
      </c>
      <c r="J31" s="21"/>
      <c r="K31" s="15">
        <v>0</v>
      </c>
      <c r="L31" s="15">
        <v>1025000</v>
      </c>
      <c r="M31" s="15">
        <v>512500</v>
      </c>
      <c r="N31" s="15">
        <v>512500</v>
      </c>
      <c r="O31" s="15"/>
      <c r="P31" s="15"/>
      <c r="Q31" s="15">
        <v>1025000</v>
      </c>
      <c r="R31" s="15">
        <v>512500</v>
      </c>
      <c r="S31" s="15">
        <v>512500</v>
      </c>
      <c r="T31" s="15">
        <f t="shared" ref="T31:X31" si="27">O31*18%</f>
        <v>0</v>
      </c>
      <c r="U31" s="15">
        <f t="shared" si="27"/>
        <v>0</v>
      </c>
      <c r="V31" s="15">
        <f t="shared" si="27"/>
        <v>184500</v>
      </c>
      <c r="W31" s="15">
        <f t="shared" si="27"/>
        <v>92250</v>
      </c>
      <c r="X31" s="15">
        <f t="shared" si="27"/>
        <v>92250</v>
      </c>
      <c r="Y31" s="15">
        <v>0</v>
      </c>
      <c r="Z31" s="33">
        <f t="shared" si="1"/>
        <v>6000000</v>
      </c>
      <c r="AA31" s="15">
        <f t="shared" si="2"/>
        <v>1531000</v>
      </c>
      <c r="AB31" s="34">
        <f t="shared" si="3"/>
        <v>-1131000</v>
      </c>
      <c r="AC31" s="14"/>
    </row>
    <row r="32" s="3" customFormat="1" customHeight="1" spans="1:29">
      <c r="A32" s="14">
        <v>28</v>
      </c>
      <c r="B32" s="14" t="s">
        <v>25</v>
      </c>
      <c r="C32" s="14">
        <v>51</v>
      </c>
      <c r="D32" s="15">
        <v>6000000</v>
      </c>
      <c r="E32" s="16"/>
      <c r="F32" s="16"/>
      <c r="G32" s="16"/>
      <c r="H32" s="16"/>
      <c r="I32" s="16">
        <v>6045000</v>
      </c>
      <c r="J32" s="21"/>
      <c r="K32" s="15">
        <v>0</v>
      </c>
      <c r="L32" s="15">
        <v>700000</v>
      </c>
      <c r="M32" s="15">
        <v>700000</v>
      </c>
      <c r="N32" s="15">
        <v>1400000</v>
      </c>
      <c r="O32" s="15"/>
      <c r="P32" s="15"/>
      <c r="Q32" s="15">
        <v>700000</v>
      </c>
      <c r="R32" s="15">
        <v>700000</v>
      </c>
      <c r="S32" s="15">
        <v>1400000</v>
      </c>
      <c r="T32" s="15">
        <f t="shared" ref="T32:X32" si="28">O32*18%</f>
        <v>0</v>
      </c>
      <c r="U32" s="15">
        <f t="shared" si="28"/>
        <v>0</v>
      </c>
      <c r="V32" s="15">
        <f t="shared" si="28"/>
        <v>126000</v>
      </c>
      <c r="W32" s="15">
        <f t="shared" si="28"/>
        <v>126000</v>
      </c>
      <c r="X32" s="15">
        <f t="shared" si="28"/>
        <v>252000</v>
      </c>
      <c r="Y32" s="15">
        <v>0</v>
      </c>
      <c r="Z32" s="33">
        <f t="shared" si="1"/>
        <v>6045000</v>
      </c>
      <c r="AA32" s="15">
        <f t="shared" si="2"/>
        <v>-59000</v>
      </c>
      <c r="AB32" s="34">
        <f t="shared" si="3"/>
        <v>459000</v>
      </c>
      <c r="AC32" s="14"/>
    </row>
    <row r="33" s="3" customFormat="1" customHeight="1" spans="1:29">
      <c r="A33" s="14">
        <v>29</v>
      </c>
      <c r="B33" s="14" t="s">
        <v>25</v>
      </c>
      <c r="C33" s="14">
        <v>52</v>
      </c>
      <c r="D33" s="15">
        <v>6000000</v>
      </c>
      <c r="E33" s="16"/>
      <c r="F33" s="16"/>
      <c r="G33" s="16"/>
      <c r="H33" s="16"/>
      <c r="I33" s="21">
        <v>4545000</v>
      </c>
      <c r="J33" s="21"/>
      <c r="K33" s="15">
        <v>0</v>
      </c>
      <c r="L33" s="15">
        <v>700000</v>
      </c>
      <c r="M33" s="15">
        <v>700000</v>
      </c>
      <c r="N33" s="15">
        <v>1400000</v>
      </c>
      <c r="O33" s="15"/>
      <c r="P33" s="15"/>
      <c r="Q33" s="15">
        <v>700000</v>
      </c>
      <c r="R33" s="15">
        <v>700000</v>
      </c>
      <c r="S33" s="15">
        <v>1400000</v>
      </c>
      <c r="T33" s="15">
        <f t="shared" ref="T33:X33" si="29">O33*18%</f>
        <v>0</v>
      </c>
      <c r="U33" s="15">
        <f t="shared" si="29"/>
        <v>0</v>
      </c>
      <c r="V33" s="15">
        <f t="shared" si="29"/>
        <v>126000</v>
      </c>
      <c r="W33" s="15">
        <f t="shared" si="29"/>
        <v>126000</v>
      </c>
      <c r="X33" s="15">
        <f t="shared" si="29"/>
        <v>252000</v>
      </c>
      <c r="Y33" s="15">
        <v>0</v>
      </c>
      <c r="Z33" s="33">
        <f t="shared" si="1"/>
        <v>4545000</v>
      </c>
      <c r="AA33" s="15">
        <f t="shared" si="2"/>
        <v>-1559000</v>
      </c>
      <c r="AB33" s="34">
        <f t="shared" si="3"/>
        <v>1959000</v>
      </c>
      <c r="AC33" s="14"/>
    </row>
    <row r="34" s="3" customFormat="1" customHeight="1" spans="1:29">
      <c r="A34" s="14">
        <v>30</v>
      </c>
      <c r="B34" s="14" t="s">
        <v>43</v>
      </c>
      <c r="C34" s="14">
        <v>54</v>
      </c>
      <c r="D34" s="15">
        <v>4500000</v>
      </c>
      <c r="E34" s="16"/>
      <c r="F34" s="16"/>
      <c r="G34" s="16"/>
      <c r="H34" s="16"/>
      <c r="I34" s="16">
        <v>4700000</v>
      </c>
      <c r="J34" s="21"/>
      <c r="K34" s="15">
        <v>0</v>
      </c>
      <c r="L34" s="15">
        <v>1025000</v>
      </c>
      <c r="M34" s="15">
        <v>1025000</v>
      </c>
      <c r="N34" s="15"/>
      <c r="O34" s="15"/>
      <c r="P34" s="15"/>
      <c r="Q34" s="15">
        <v>1025000</v>
      </c>
      <c r="R34" s="15">
        <v>1025000</v>
      </c>
      <c r="S34" s="15"/>
      <c r="T34" s="15">
        <f t="shared" ref="T34:X34" si="30">O34*18%</f>
        <v>0</v>
      </c>
      <c r="U34" s="15">
        <f t="shared" si="30"/>
        <v>0</v>
      </c>
      <c r="V34" s="15">
        <f t="shared" si="30"/>
        <v>184500</v>
      </c>
      <c r="W34" s="15">
        <f t="shared" si="30"/>
        <v>184500</v>
      </c>
      <c r="X34" s="15">
        <f t="shared" si="30"/>
        <v>0</v>
      </c>
      <c r="Y34" s="15">
        <v>0</v>
      </c>
      <c r="Z34" s="33">
        <f t="shared" si="1"/>
        <v>4700000</v>
      </c>
      <c r="AA34" s="15">
        <f t="shared" si="2"/>
        <v>231000</v>
      </c>
      <c r="AB34" s="34">
        <f t="shared" si="3"/>
        <v>169000</v>
      </c>
      <c r="AC34" s="14"/>
    </row>
    <row r="35" s="3" customFormat="1" customHeight="1" spans="1:29">
      <c r="A35" s="14">
        <v>31</v>
      </c>
      <c r="B35" s="14" t="s">
        <v>44</v>
      </c>
      <c r="C35" s="14">
        <v>55</v>
      </c>
      <c r="D35" s="15">
        <v>5800000</v>
      </c>
      <c r="E35" s="16">
        <v>0</v>
      </c>
      <c r="F35" s="16">
        <v>0</v>
      </c>
      <c r="G35" s="16">
        <f>225000+870000</f>
        <v>1095000</v>
      </c>
      <c r="H35" s="16">
        <f>1351000+1351000</f>
        <v>2702000</v>
      </c>
      <c r="I35" s="21">
        <v>0</v>
      </c>
      <c r="J35" s="21">
        <v>1000000</v>
      </c>
      <c r="K35" s="15"/>
      <c r="L35" s="15">
        <v>1350000</v>
      </c>
      <c r="M35" s="15">
        <v>675000</v>
      </c>
      <c r="N35" s="15"/>
      <c r="O35" s="15"/>
      <c r="P35" s="15"/>
      <c r="Q35" s="15">
        <f>675000+675000</f>
        <v>1350000</v>
      </c>
      <c r="R35" s="15">
        <v>675000</v>
      </c>
      <c r="S35" s="15"/>
      <c r="T35" s="15">
        <f t="shared" ref="T35:X35" si="31">O35*18%</f>
        <v>0</v>
      </c>
      <c r="U35" s="15">
        <f t="shared" si="31"/>
        <v>0</v>
      </c>
      <c r="V35" s="15">
        <f t="shared" si="31"/>
        <v>243000</v>
      </c>
      <c r="W35" s="15">
        <f t="shared" si="31"/>
        <v>121500</v>
      </c>
      <c r="X35" s="15">
        <f t="shared" si="31"/>
        <v>0</v>
      </c>
      <c r="Y35" s="15">
        <v>0</v>
      </c>
      <c r="Z35" s="33">
        <f t="shared" si="1"/>
        <v>4797000</v>
      </c>
      <c r="AA35" s="15">
        <f t="shared" si="2"/>
        <v>382500</v>
      </c>
      <c r="AB35" s="34">
        <f t="shared" si="3"/>
        <v>1367500</v>
      </c>
      <c r="AC35" s="14"/>
    </row>
    <row r="36" s="3" customFormat="1" customHeight="1" spans="1:29">
      <c r="A36" s="14">
        <v>32</v>
      </c>
      <c r="B36" s="14" t="s">
        <v>45</v>
      </c>
      <c r="C36" s="14">
        <v>56</v>
      </c>
      <c r="D36" s="15">
        <v>4200000</v>
      </c>
      <c r="E36" s="16"/>
      <c r="F36" s="16">
        <v>0</v>
      </c>
      <c r="G36" s="16">
        <v>225000</v>
      </c>
      <c r="H36" s="16">
        <f>600000+75000+1980000+156228</f>
        <v>2811228</v>
      </c>
      <c r="I36" s="16">
        <v>600000</v>
      </c>
      <c r="J36" s="21"/>
      <c r="K36" s="15"/>
      <c r="L36" s="15">
        <v>950000</v>
      </c>
      <c r="M36" s="15">
        <v>475000</v>
      </c>
      <c r="N36" s="15"/>
      <c r="O36" s="15"/>
      <c r="P36" s="15"/>
      <c r="Q36" s="15">
        <v>950000</v>
      </c>
      <c r="R36" s="15">
        <v>475000</v>
      </c>
      <c r="S36" s="15"/>
      <c r="T36" s="15">
        <f t="shared" ref="T36:X36" si="32">O36*18%</f>
        <v>0</v>
      </c>
      <c r="U36" s="15">
        <f t="shared" si="32"/>
        <v>0</v>
      </c>
      <c r="V36" s="15">
        <f t="shared" si="32"/>
        <v>171000</v>
      </c>
      <c r="W36" s="15">
        <f t="shared" si="32"/>
        <v>85500</v>
      </c>
      <c r="X36" s="15">
        <f t="shared" si="32"/>
        <v>0</v>
      </c>
      <c r="Y36" s="15">
        <f>147024+9204</f>
        <v>156228</v>
      </c>
      <c r="Z36" s="33">
        <f t="shared" si="1"/>
        <v>3636228</v>
      </c>
      <c r="AA36" s="15">
        <f t="shared" si="2"/>
        <v>373500</v>
      </c>
      <c r="AB36" s="34">
        <f t="shared" si="3"/>
        <v>976500</v>
      </c>
      <c r="AC36" s="14"/>
    </row>
    <row r="37" s="3" customFormat="1" customHeight="1" spans="1:29">
      <c r="A37" s="14">
        <v>33</v>
      </c>
      <c r="B37" s="14" t="s">
        <v>46</v>
      </c>
      <c r="C37" s="14">
        <v>57</v>
      </c>
      <c r="D37" s="15">
        <v>3700000</v>
      </c>
      <c r="E37" s="16">
        <v>525000</v>
      </c>
      <c r="F37" s="16">
        <v>1887000</v>
      </c>
      <c r="G37" s="16"/>
      <c r="H37" s="16">
        <v>1172500</v>
      </c>
      <c r="I37" s="21">
        <v>802000</v>
      </c>
      <c r="J37" s="21">
        <v>138723.8</v>
      </c>
      <c r="K37" s="15">
        <v>1596000</v>
      </c>
      <c r="L37" s="15"/>
      <c r="M37" s="15"/>
      <c r="N37" s="15">
        <v>612500</v>
      </c>
      <c r="O37" s="15"/>
      <c r="P37" s="15">
        <v>1262500</v>
      </c>
      <c r="Q37" s="15">
        <v>0</v>
      </c>
      <c r="R37" s="15"/>
      <c r="S37" s="15">
        <v>624740</v>
      </c>
      <c r="T37" s="15">
        <f t="shared" ref="T37:X37" si="33">O37*18%</f>
        <v>0</v>
      </c>
      <c r="U37" s="15">
        <f t="shared" si="33"/>
        <v>227250</v>
      </c>
      <c r="V37" s="15">
        <f t="shared" si="33"/>
        <v>0</v>
      </c>
      <c r="W37" s="15">
        <f t="shared" si="33"/>
        <v>0</v>
      </c>
      <c r="X37" s="15">
        <f t="shared" si="33"/>
        <v>112453.2</v>
      </c>
      <c r="Y37" s="15">
        <f>27715.8+65605</f>
        <v>93320.8</v>
      </c>
      <c r="Z37" s="33">
        <f t="shared" si="1"/>
        <v>4525223.8</v>
      </c>
      <c r="AA37" s="15">
        <f t="shared" si="2"/>
        <v>-3540.20000000023</v>
      </c>
      <c r="AB37" s="34">
        <f t="shared" si="3"/>
        <v>-392199.8</v>
      </c>
      <c r="AC37" s="14"/>
    </row>
    <row r="38" s="3" customFormat="1" customHeight="1" spans="1:29">
      <c r="A38" s="14">
        <v>34</v>
      </c>
      <c r="B38" s="14" t="s">
        <v>47</v>
      </c>
      <c r="C38" s="14">
        <v>59</v>
      </c>
      <c r="D38" s="15">
        <v>5500000</v>
      </c>
      <c r="E38" s="16">
        <v>0</v>
      </c>
      <c r="F38" s="16">
        <v>0</v>
      </c>
      <c r="G38" s="16">
        <f>25000+500000+250000+230000+45000</f>
        <v>1050000</v>
      </c>
      <c r="H38" s="16">
        <v>2990000</v>
      </c>
      <c r="I38" s="16">
        <v>1460875</v>
      </c>
      <c r="J38" s="21">
        <v>542631</v>
      </c>
      <c r="K38" s="15">
        <v>0</v>
      </c>
      <c r="L38" s="15">
        <v>1275000</v>
      </c>
      <c r="M38" s="15">
        <v>637500</v>
      </c>
      <c r="N38" s="15">
        <v>837500</v>
      </c>
      <c r="O38" s="15"/>
      <c r="P38" s="15">
        <v>0</v>
      </c>
      <c r="Q38" s="15">
        <v>1275000</v>
      </c>
      <c r="R38" s="15">
        <v>637500</v>
      </c>
      <c r="S38" s="15">
        <v>861260</v>
      </c>
      <c r="T38" s="15">
        <f t="shared" ref="T38:X38" si="34">O38*18%</f>
        <v>0</v>
      </c>
      <c r="U38" s="15">
        <f t="shared" si="34"/>
        <v>0</v>
      </c>
      <c r="V38" s="15">
        <f t="shared" si="34"/>
        <v>229500</v>
      </c>
      <c r="W38" s="15">
        <f t="shared" si="34"/>
        <v>114750</v>
      </c>
      <c r="X38" s="15">
        <f t="shared" si="34"/>
        <v>155026.8</v>
      </c>
      <c r="Y38" s="15">
        <f>9204+390</f>
        <v>9594</v>
      </c>
      <c r="Z38" s="33">
        <f t="shared" si="1"/>
        <v>6043506</v>
      </c>
      <c r="AA38" s="15">
        <f t="shared" si="2"/>
        <v>10875.2</v>
      </c>
      <c r="AB38" s="34">
        <f t="shared" si="3"/>
        <v>-34635.2</v>
      </c>
      <c r="AC38" s="14"/>
    </row>
    <row r="39" s="3" customFormat="1" customHeight="1" spans="1:29">
      <c r="A39" s="14">
        <v>35</v>
      </c>
      <c r="B39" s="14" t="s">
        <v>48</v>
      </c>
      <c r="C39" s="14">
        <v>60</v>
      </c>
      <c r="D39" s="15">
        <v>3300000</v>
      </c>
      <c r="E39" s="16">
        <v>0</v>
      </c>
      <c r="F39" s="16">
        <v>0</v>
      </c>
      <c r="G39" s="16">
        <f>225000</f>
        <v>225000</v>
      </c>
      <c r="H39" s="16">
        <f>645000+938000</f>
        <v>1583000</v>
      </c>
      <c r="I39" s="21">
        <f>800000+640000+51995</f>
        <v>1491995</v>
      </c>
      <c r="J39" s="21"/>
      <c r="K39" s="15"/>
      <c r="L39" s="15">
        <v>725000</v>
      </c>
      <c r="M39" s="15">
        <v>362500</v>
      </c>
      <c r="N39" s="15">
        <v>562500</v>
      </c>
      <c r="O39" s="15"/>
      <c r="P39" s="15"/>
      <c r="Q39" s="15">
        <f>975000-250000</f>
        <v>725000</v>
      </c>
      <c r="R39" s="15">
        <v>362500</v>
      </c>
      <c r="S39" s="15">
        <v>562500</v>
      </c>
      <c r="T39" s="15">
        <f t="shared" ref="T39:X40" si="35">O39*18%</f>
        <v>0</v>
      </c>
      <c r="U39" s="15">
        <f t="shared" si="35"/>
        <v>0</v>
      </c>
      <c r="V39" s="15">
        <f t="shared" si="35"/>
        <v>130500</v>
      </c>
      <c r="W39" s="15">
        <f t="shared" si="35"/>
        <v>65250</v>
      </c>
      <c r="X39" s="15">
        <f t="shared" si="35"/>
        <v>101250</v>
      </c>
      <c r="Y39" s="15">
        <v>9204</v>
      </c>
      <c r="Z39" s="33">
        <f t="shared" si="1"/>
        <v>3299995</v>
      </c>
      <c r="AA39" s="15">
        <f t="shared" si="2"/>
        <v>-306209</v>
      </c>
      <c r="AB39" s="34">
        <f t="shared" si="3"/>
        <v>306209</v>
      </c>
      <c r="AC39" s="14"/>
    </row>
    <row r="40" s="3" customFormat="1" customHeight="1" spans="1:29">
      <c r="A40" s="14">
        <v>36</v>
      </c>
      <c r="B40" s="14" t="s">
        <v>49</v>
      </c>
      <c r="C40" s="14">
        <v>61</v>
      </c>
      <c r="D40" s="15">
        <v>3700000</v>
      </c>
      <c r="E40" s="16">
        <v>0</v>
      </c>
      <c r="F40" s="16">
        <f>1730000-555000</f>
        <v>1175000</v>
      </c>
      <c r="G40" s="16">
        <v>2444750</v>
      </c>
      <c r="H40" s="16">
        <v>1509500</v>
      </c>
      <c r="I40" s="16">
        <v>253494</v>
      </c>
      <c r="J40" s="21">
        <v>606350</v>
      </c>
      <c r="K40" s="15">
        <v>2203000</v>
      </c>
      <c r="L40" s="15"/>
      <c r="M40" s="15"/>
      <c r="N40" s="15">
        <v>612500</v>
      </c>
      <c r="O40" s="15"/>
      <c r="P40" s="15">
        <v>1802600</v>
      </c>
      <c r="Q40" s="15">
        <v>0</v>
      </c>
      <c r="R40" s="15"/>
      <c r="S40" s="15">
        <v>624740</v>
      </c>
      <c r="T40" s="15">
        <f t="shared" ref="T40:X40" si="36">O40*18%</f>
        <v>0</v>
      </c>
      <c r="U40" s="15">
        <f t="shared" si="36"/>
        <v>324468</v>
      </c>
      <c r="V40" s="15">
        <f t="shared" si="36"/>
        <v>0</v>
      </c>
      <c r="W40" s="15">
        <f t="shared" si="36"/>
        <v>0</v>
      </c>
      <c r="X40" s="15">
        <f t="shared" si="35"/>
        <v>112453.2</v>
      </c>
      <c r="Y40" s="15">
        <v>212292.6</v>
      </c>
      <c r="Z40" s="33">
        <f t="shared" si="1"/>
        <v>5989094</v>
      </c>
      <c r="AA40" s="15">
        <f t="shared" si="2"/>
        <v>97040.1999999999</v>
      </c>
      <c r="AB40" s="34">
        <f t="shared" si="3"/>
        <v>-1639880.2</v>
      </c>
      <c r="AC40" s="14"/>
    </row>
    <row r="41" s="3" customFormat="1" customHeight="1" spans="1:29">
      <c r="A41" s="14">
        <v>37</v>
      </c>
      <c r="B41" s="14" t="s">
        <v>50</v>
      </c>
      <c r="C41" s="14">
        <v>63</v>
      </c>
      <c r="D41" s="15">
        <v>3916000</v>
      </c>
      <c r="E41" s="16">
        <v>225000</v>
      </c>
      <c r="F41" s="16">
        <v>2329560</v>
      </c>
      <c r="G41" s="16">
        <v>0</v>
      </c>
      <c r="H41" s="16">
        <v>1414260</v>
      </c>
      <c r="I41" s="21">
        <v>965191</v>
      </c>
      <c r="J41" s="21"/>
      <c r="K41" s="15">
        <v>1683480</v>
      </c>
      <c r="L41" s="15"/>
      <c r="M41" s="15">
        <v>639500</v>
      </c>
      <c r="N41" s="15"/>
      <c r="O41" s="15"/>
      <c r="P41" s="15">
        <v>1318500</v>
      </c>
      <c r="Q41" s="15">
        <v>0</v>
      </c>
      <c r="R41" s="15">
        <v>655582</v>
      </c>
      <c r="S41" s="15"/>
      <c r="T41" s="15">
        <f t="shared" ref="T41:X41" si="37">O41*18%</f>
        <v>0</v>
      </c>
      <c r="U41" s="15">
        <f t="shared" si="37"/>
        <v>237330</v>
      </c>
      <c r="V41" s="15">
        <f t="shared" si="37"/>
        <v>0</v>
      </c>
      <c r="W41" s="15">
        <f t="shared" si="37"/>
        <v>118004.76</v>
      </c>
      <c r="X41" s="15">
        <f t="shared" si="37"/>
        <v>0</v>
      </c>
      <c r="Y41" s="15">
        <f>230720+9204+7890+33800</f>
        <v>281614</v>
      </c>
      <c r="Z41" s="33">
        <f t="shared" si="1"/>
        <v>4934011</v>
      </c>
      <c r="AA41" s="15">
        <f t="shared" si="2"/>
        <v>0.239999999990687</v>
      </c>
      <c r="AB41" s="34">
        <f t="shared" si="3"/>
        <v>-381062.24</v>
      </c>
      <c r="AC41" s="14" t="s">
        <v>75</v>
      </c>
    </row>
    <row r="42" s="3" customFormat="1" customHeight="1" spans="1:29">
      <c r="A42" s="14">
        <v>38</v>
      </c>
      <c r="B42" s="14" t="s">
        <v>51</v>
      </c>
      <c r="C42" s="14">
        <v>64</v>
      </c>
      <c r="D42" s="15">
        <v>3916000</v>
      </c>
      <c r="E42" s="16">
        <f>25000+200000</f>
        <v>225000</v>
      </c>
      <c r="F42" s="16">
        <f>87400+500000+480000+391080+871080</f>
        <v>2329560</v>
      </c>
      <c r="G42" s="16">
        <v>580720</v>
      </c>
      <c r="H42" s="16">
        <v>726984</v>
      </c>
      <c r="I42" s="16">
        <f>467480+145650+1865+10</f>
        <v>615005</v>
      </c>
      <c r="J42" s="21"/>
      <c r="K42" s="15">
        <v>1958000</v>
      </c>
      <c r="L42" s="15">
        <v>-639500</v>
      </c>
      <c r="M42" s="15">
        <v>639500</v>
      </c>
      <c r="N42" s="15"/>
      <c r="O42" s="15">
        <f>1177280-298280</f>
        <v>879000</v>
      </c>
      <c r="P42" s="15">
        <v>439500</v>
      </c>
      <c r="Q42" s="15">
        <v>0</v>
      </c>
      <c r="R42" s="15">
        <v>639500</v>
      </c>
      <c r="S42" s="15"/>
      <c r="T42" s="15">
        <f t="shared" ref="T42:X42" si="38">O42*18%</f>
        <v>158220</v>
      </c>
      <c r="U42" s="15">
        <f t="shared" si="38"/>
        <v>79110</v>
      </c>
      <c r="V42" s="15">
        <f t="shared" si="38"/>
        <v>0</v>
      </c>
      <c r="W42" s="15">
        <f t="shared" si="38"/>
        <v>115110</v>
      </c>
      <c r="X42" s="15">
        <f t="shared" si="38"/>
        <v>0</v>
      </c>
      <c r="Y42" s="15">
        <f>137084+9204+390+41300+18977+1875</f>
        <v>208830</v>
      </c>
      <c r="Z42" s="33">
        <f t="shared" si="1"/>
        <v>4477269</v>
      </c>
      <c r="AA42" s="15">
        <f t="shared" si="2"/>
        <v>-1</v>
      </c>
      <c r="AB42" s="34">
        <f t="shared" si="3"/>
        <v>1</v>
      </c>
      <c r="AC42" s="14" t="s">
        <v>75</v>
      </c>
    </row>
    <row r="43" s="3" customFormat="1" customHeight="1" spans="1:29">
      <c r="A43" s="14">
        <v>39</v>
      </c>
      <c r="B43" s="14" t="s">
        <v>52</v>
      </c>
      <c r="C43" s="14">
        <v>65</v>
      </c>
      <c r="D43" s="15">
        <v>5416000</v>
      </c>
      <c r="E43" s="16">
        <v>0</v>
      </c>
      <c r="F43" s="16">
        <v>0</v>
      </c>
      <c r="G43" s="16">
        <f>225000+2066000+1253580</f>
        <v>3544580</v>
      </c>
      <c r="H43" s="16">
        <v>835720</v>
      </c>
      <c r="I43" s="21">
        <v>0</v>
      </c>
      <c r="J43" s="21">
        <v>1052268</v>
      </c>
      <c r="K43" s="15">
        <v>0</v>
      </c>
      <c r="L43" s="15">
        <v>1881000</v>
      </c>
      <c r="M43" s="15"/>
      <c r="N43" s="15"/>
      <c r="O43" s="15"/>
      <c r="P43" s="15">
        <v>1254000</v>
      </c>
      <c r="Q43" s="15">
        <v>627000</v>
      </c>
      <c r="R43" s="15"/>
      <c r="S43" s="15"/>
      <c r="T43" s="15">
        <f t="shared" ref="T43:X43" si="39">O43*18%</f>
        <v>0</v>
      </c>
      <c r="U43" s="15">
        <f t="shared" si="39"/>
        <v>225720</v>
      </c>
      <c r="V43" s="15">
        <f t="shared" si="39"/>
        <v>112860</v>
      </c>
      <c r="W43" s="15">
        <f t="shared" si="39"/>
        <v>0</v>
      </c>
      <c r="X43" s="15">
        <f t="shared" si="39"/>
        <v>0</v>
      </c>
      <c r="Y43" s="15">
        <v>9204</v>
      </c>
      <c r="Z43" s="33">
        <f t="shared" si="1"/>
        <v>5432568</v>
      </c>
      <c r="AA43" s="15">
        <f t="shared" si="2"/>
        <v>1322784</v>
      </c>
      <c r="AB43" s="34">
        <f t="shared" si="3"/>
        <v>331216</v>
      </c>
      <c r="AC43" s="14"/>
    </row>
    <row r="44" s="3" customFormat="1" customHeight="1" spans="1:29">
      <c r="A44" s="14">
        <v>40</v>
      </c>
      <c r="B44" s="14" t="s">
        <v>53</v>
      </c>
      <c r="C44" s="14">
        <v>66</v>
      </c>
      <c r="D44" s="15">
        <v>5560000</v>
      </c>
      <c r="E44" s="16">
        <v>0</v>
      </c>
      <c r="F44" s="16">
        <f>25000+200000+610500+800000</f>
        <v>1635500</v>
      </c>
      <c r="G44" s="16">
        <v>0</v>
      </c>
      <c r="H44" s="16">
        <f>2000000+700000</f>
        <v>2700000</v>
      </c>
      <c r="I44" s="16">
        <f>500000+1000000+154500</f>
        <v>1654500</v>
      </c>
      <c r="J44" s="21"/>
      <c r="K44" s="15">
        <v>835500</v>
      </c>
      <c r="L44" s="15">
        <v>1099500</v>
      </c>
      <c r="M44" s="15">
        <v>845000</v>
      </c>
      <c r="N44" s="15"/>
      <c r="O44" s="15"/>
      <c r="P44" s="15">
        <f>458750+458750</f>
        <v>917500</v>
      </c>
      <c r="Q44" s="15">
        <f>458750+558750</f>
        <v>1017500</v>
      </c>
      <c r="R44" s="15">
        <v>845000</v>
      </c>
      <c r="S44" s="15"/>
      <c r="T44" s="15">
        <f t="shared" ref="T44:X44" si="40">O44*18%</f>
        <v>0</v>
      </c>
      <c r="U44" s="15">
        <f t="shared" si="40"/>
        <v>165150</v>
      </c>
      <c r="V44" s="15">
        <f t="shared" si="40"/>
        <v>183150</v>
      </c>
      <c r="W44" s="15">
        <f t="shared" si="40"/>
        <v>152100</v>
      </c>
      <c r="X44" s="15">
        <f t="shared" si="40"/>
        <v>0</v>
      </c>
      <c r="Y44" s="15">
        <f>9204+390+51110-131166</f>
        <v>-70462</v>
      </c>
      <c r="Z44" s="33">
        <f t="shared" si="1"/>
        <v>5990000</v>
      </c>
      <c r="AA44" s="15">
        <f t="shared" si="2"/>
        <v>62</v>
      </c>
      <c r="AB44" s="34">
        <f t="shared" si="3"/>
        <v>-62</v>
      </c>
      <c r="AC44" s="14" t="s">
        <v>75</v>
      </c>
    </row>
    <row r="45" s="3" customFormat="1" customHeight="1" spans="1:29">
      <c r="A45" s="14">
        <v>41</v>
      </c>
      <c r="B45" s="14" t="s">
        <v>54</v>
      </c>
      <c r="C45" s="14">
        <v>69</v>
      </c>
      <c r="D45" s="15">
        <v>4000000</v>
      </c>
      <c r="E45" s="16">
        <v>0</v>
      </c>
      <c r="F45" s="16">
        <v>0</v>
      </c>
      <c r="G45" s="16">
        <v>0</v>
      </c>
      <c r="H45" s="16">
        <v>2014000</v>
      </c>
      <c r="I45" s="21">
        <v>1100000</v>
      </c>
      <c r="J45" s="21"/>
      <c r="K45" s="15"/>
      <c r="L45" s="15">
        <v>900000</v>
      </c>
      <c r="M45" s="15">
        <v>450000</v>
      </c>
      <c r="N45" s="15"/>
      <c r="O45" s="15"/>
      <c r="P45" s="15"/>
      <c r="Q45" s="15">
        <v>900000</v>
      </c>
      <c r="R45" s="15">
        <v>450000</v>
      </c>
      <c r="S45" s="15"/>
      <c r="T45" s="15">
        <f t="shared" ref="T45:X45" si="41">O45*18%</f>
        <v>0</v>
      </c>
      <c r="U45" s="15">
        <f t="shared" si="41"/>
        <v>0</v>
      </c>
      <c r="V45" s="15">
        <f t="shared" si="41"/>
        <v>162000</v>
      </c>
      <c r="W45" s="15">
        <f t="shared" si="41"/>
        <v>81000</v>
      </c>
      <c r="X45" s="15">
        <f t="shared" si="41"/>
        <v>0</v>
      </c>
      <c r="Y45" s="15">
        <v>0</v>
      </c>
      <c r="Z45" s="33">
        <f t="shared" si="1"/>
        <v>3114000</v>
      </c>
      <c r="AA45" s="15">
        <f t="shared" si="2"/>
        <v>171000</v>
      </c>
      <c r="AB45" s="34">
        <f t="shared" si="3"/>
        <v>1129000</v>
      </c>
      <c r="AC45" s="14"/>
    </row>
    <row r="46" s="3" customFormat="1" customHeight="1" spans="1:29">
      <c r="A46" s="14">
        <v>42</v>
      </c>
      <c r="B46" s="14" t="s">
        <v>55</v>
      </c>
      <c r="C46" s="14">
        <v>70</v>
      </c>
      <c r="D46" s="15">
        <v>3600000</v>
      </c>
      <c r="E46" s="16"/>
      <c r="F46" s="16">
        <v>0</v>
      </c>
      <c r="G46" s="16">
        <f>225000+21500</f>
        <v>246500</v>
      </c>
      <c r="H46" s="16">
        <v>500000</v>
      </c>
      <c r="I46" s="16">
        <v>2000000</v>
      </c>
      <c r="J46" s="21"/>
      <c r="K46" s="15"/>
      <c r="L46" s="15">
        <v>800000</v>
      </c>
      <c r="M46" s="15">
        <v>400000</v>
      </c>
      <c r="N46" s="15"/>
      <c r="O46" s="15"/>
      <c r="P46" s="15"/>
      <c r="Q46" s="15">
        <f>1350000-550000</f>
        <v>800000</v>
      </c>
      <c r="R46" s="15">
        <v>400000</v>
      </c>
      <c r="S46" s="15"/>
      <c r="T46" s="15">
        <f t="shared" ref="T46:X46" si="42">O46*18%</f>
        <v>0</v>
      </c>
      <c r="U46" s="15">
        <f t="shared" si="42"/>
        <v>0</v>
      </c>
      <c r="V46" s="15">
        <f t="shared" si="42"/>
        <v>144000</v>
      </c>
      <c r="W46" s="15">
        <f t="shared" si="42"/>
        <v>72000</v>
      </c>
      <c r="X46" s="15">
        <f t="shared" si="42"/>
        <v>0</v>
      </c>
      <c r="Y46" s="15">
        <v>9204</v>
      </c>
      <c r="Z46" s="33">
        <f t="shared" si="1"/>
        <v>2746500</v>
      </c>
      <c r="AA46" s="15">
        <f t="shared" si="2"/>
        <v>121296</v>
      </c>
      <c r="AB46" s="34">
        <f t="shared" si="3"/>
        <v>1078704</v>
      </c>
      <c r="AC46" s="14"/>
    </row>
    <row r="47" s="3" customFormat="1" customHeight="1" spans="1:29">
      <c r="A47" s="14">
        <v>43</v>
      </c>
      <c r="B47" s="14" t="s">
        <v>43</v>
      </c>
      <c r="C47" s="14">
        <v>72</v>
      </c>
      <c r="D47" s="15">
        <v>6000000</v>
      </c>
      <c r="E47" s="16"/>
      <c r="F47" s="16"/>
      <c r="G47" s="16"/>
      <c r="H47" s="16">
        <v>0</v>
      </c>
      <c r="I47" s="21">
        <v>6245000</v>
      </c>
      <c r="J47" s="21"/>
      <c r="K47" s="15">
        <v>0</v>
      </c>
      <c r="L47" s="15">
        <v>0</v>
      </c>
      <c r="M47" s="15">
        <v>1400000</v>
      </c>
      <c r="N47" s="15">
        <v>700000</v>
      </c>
      <c r="O47" s="15"/>
      <c r="P47" s="15"/>
      <c r="Q47" s="15">
        <v>0</v>
      </c>
      <c r="R47" s="15">
        <v>1400000</v>
      </c>
      <c r="S47" s="15">
        <v>700000</v>
      </c>
      <c r="T47" s="15">
        <f t="shared" ref="T47:X47" si="43">O47*18%</f>
        <v>0</v>
      </c>
      <c r="U47" s="15">
        <f t="shared" si="43"/>
        <v>0</v>
      </c>
      <c r="V47" s="15">
        <f t="shared" si="43"/>
        <v>0</v>
      </c>
      <c r="W47" s="15">
        <f t="shared" si="43"/>
        <v>252000</v>
      </c>
      <c r="X47" s="15">
        <f t="shared" si="43"/>
        <v>126000</v>
      </c>
      <c r="Y47" s="15">
        <v>0</v>
      </c>
      <c r="Z47" s="33">
        <f t="shared" si="1"/>
        <v>6245000</v>
      </c>
      <c r="AA47" s="15">
        <f t="shared" si="2"/>
        <v>1667000</v>
      </c>
      <c r="AB47" s="34">
        <f t="shared" si="3"/>
        <v>133000</v>
      </c>
      <c r="AC47" s="14"/>
    </row>
    <row r="48" s="3" customFormat="1" customHeight="1" spans="1:29">
      <c r="A48" s="14">
        <v>44</v>
      </c>
      <c r="B48" s="14" t="s">
        <v>40</v>
      </c>
      <c r="C48" s="14">
        <v>72</v>
      </c>
      <c r="D48" s="15">
        <v>7500000</v>
      </c>
      <c r="E48" s="16"/>
      <c r="F48" s="16"/>
      <c r="G48" s="16"/>
      <c r="H48" s="16"/>
      <c r="I48" s="16">
        <v>25000</v>
      </c>
      <c r="J48" s="21"/>
      <c r="K48" s="15"/>
      <c r="L48" s="15"/>
      <c r="M48" s="15">
        <v>0</v>
      </c>
      <c r="N48" s="15"/>
      <c r="O48" s="15">
        <v>0</v>
      </c>
      <c r="P48" s="15">
        <v>0</v>
      </c>
      <c r="Q48" s="15">
        <v>0</v>
      </c>
      <c r="R48" s="15">
        <v>0</v>
      </c>
      <c r="S48" s="15"/>
      <c r="T48" s="15"/>
      <c r="U48" s="15"/>
      <c r="V48" s="15">
        <f t="shared" ref="V48:X48" si="44">Q48*18%</f>
        <v>0</v>
      </c>
      <c r="W48" s="15">
        <f t="shared" si="44"/>
        <v>0</v>
      </c>
      <c r="X48" s="15">
        <f t="shared" si="44"/>
        <v>0</v>
      </c>
      <c r="Y48" s="15">
        <v>0</v>
      </c>
      <c r="Z48" s="33">
        <f t="shared" si="1"/>
        <v>25000</v>
      </c>
      <c r="AA48" s="15">
        <f t="shared" si="2"/>
        <v>25000</v>
      </c>
      <c r="AB48" s="34">
        <f t="shared" si="3"/>
        <v>7475000</v>
      </c>
      <c r="AC48" s="14"/>
    </row>
    <row r="49" s="3" customFormat="1" customHeight="1" spans="1:29">
      <c r="A49" s="14">
        <v>45</v>
      </c>
      <c r="B49" s="14" t="s">
        <v>43</v>
      </c>
      <c r="C49" s="14">
        <v>73</v>
      </c>
      <c r="D49" s="15">
        <v>7500000</v>
      </c>
      <c r="E49" s="16"/>
      <c r="F49" s="16"/>
      <c r="G49" s="16"/>
      <c r="H49" s="16"/>
      <c r="I49" s="21">
        <v>7556260</v>
      </c>
      <c r="J49" s="21"/>
      <c r="K49" s="15"/>
      <c r="L49" s="15"/>
      <c r="M49" s="15">
        <v>2662500</v>
      </c>
      <c r="N49" s="15"/>
      <c r="O49" s="15"/>
      <c r="P49" s="15"/>
      <c r="Q49" s="15"/>
      <c r="R49" s="15">
        <v>2662500</v>
      </c>
      <c r="S49" s="15"/>
      <c r="T49" s="15"/>
      <c r="U49" s="15"/>
      <c r="V49" s="15"/>
      <c r="W49" s="15">
        <f>R49*18%</f>
        <v>479250</v>
      </c>
      <c r="X49" s="15">
        <f>S49*18%</f>
        <v>0</v>
      </c>
      <c r="Y49" s="15">
        <v>0</v>
      </c>
      <c r="Z49" s="33">
        <f t="shared" si="1"/>
        <v>7556260</v>
      </c>
      <c r="AA49" s="15">
        <f t="shared" si="2"/>
        <v>1752010</v>
      </c>
      <c r="AB49" s="34">
        <f t="shared" si="3"/>
        <v>422990</v>
      </c>
      <c r="AC49" s="14"/>
    </row>
    <row r="50" s="3" customFormat="1" customHeight="1" spans="1:29">
      <c r="A50" s="14">
        <v>46</v>
      </c>
      <c r="B50" s="14" t="s">
        <v>56</v>
      </c>
      <c r="C50" s="14">
        <v>74</v>
      </c>
      <c r="D50" s="15">
        <v>3700000</v>
      </c>
      <c r="E50" s="16">
        <v>0</v>
      </c>
      <c r="F50" s="16">
        <f>200000+25000+250000+300000+300000+250000</f>
        <v>1325000</v>
      </c>
      <c r="G50" s="16">
        <f>250000+800000+581000</f>
        <v>1631000</v>
      </c>
      <c r="H50" s="16">
        <f>500000+244000</f>
        <v>744000</v>
      </c>
      <c r="I50" s="16">
        <f>300000+46264</f>
        <v>346264</v>
      </c>
      <c r="J50" s="21"/>
      <c r="K50" s="15">
        <v>1596000</v>
      </c>
      <c r="L50" s="15">
        <v>-358500</v>
      </c>
      <c r="M50" s="15">
        <v>612500</v>
      </c>
      <c r="N50" s="15"/>
      <c r="O50" s="15"/>
      <c r="P50" s="15">
        <f>825000+412500</f>
        <v>1237500</v>
      </c>
      <c r="Q50" s="15">
        <v>0</v>
      </c>
      <c r="R50" s="15">
        <f>612500</f>
        <v>612500</v>
      </c>
      <c r="S50" s="15"/>
      <c r="T50" s="15">
        <f t="shared" ref="T50:X50" si="45">O50*18%</f>
        <v>0</v>
      </c>
      <c r="U50" s="15">
        <f t="shared" si="45"/>
        <v>222750</v>
      </c>
      <c r="V50" s="15">
        <f t="shared" si="45"/>
        <v>0</v>
      </c>
      <c r="W50" s="15">
        <f t="shared" si="45"/>
        <v>110250</v>
      </c>
      <c r="X50" s="15">
        <f t="shared" si="45"/>
        <v>0</v>
      </c>
      <c r="Y50" s="15">
        <f>9204+41300+390-37630</f>
        <v>13264</v>
      </c>
      <c r="Z50" s="33">
        <f t="shared" si="1"/>
        <v>4046264</v>
      </c>
      <c r="AA50" s="15">
        <f t="shared" si="2"/>
        <v>0</v>
      </c>
      <c r="AB50" s="34">
        <f t="shared" si="3"/>
        <v>0</v>
      </c>
      <c r="AC50" s="14" t="s">
        <v>75</v>
      </c>
    </row>
    <row r="51" s="3" customFormat="1" customHeight="1" spans="1:29">
      <c r="A51" s="14">
        <v>47</v>
      </c>
      <c r="B51" s="14" t="s">
        <v>57</v>
      </c>
      <c r="C51" s="14">
        <v>75</v>
      </c>
      <c r="D51" s="15">
        <v>3272500</v>
      </c>
      <c r="E51" s="16">
        <v>0</v>
      </c>
      <c r="F51" s="16">
        <v>225000</v>
      </c>
      <c r="G51" s="16">
        <f>490875+706988</f>
        <v>1197863</v>
      </c>
      <c r="H51" s="16"/>
      <c r="I51" s="21">
        <v>1849637</v>
      </c>
      <c r="J51" s="21">
        <f>654566-171633</f>
        <v>482933</v>
      </c>
      <c r="K51" s="15">
        <v>225000</v>
      </c>
      <c r="L51" s="15">
        <v>852189</v>
      </c>
      <c r="M51" s="15"/>
      <c r="N51" s="15">
        <v>559061</v>
      </c>
      <c r="O51" s="15"/>
      <c r="P51" s="15">
        <f>718126+359063</f>
        <v>1077189</v>
      </c>
      <c r="Q51" s="15">
        <v>0</v>
      </c>
      <c r="R51" s="15"/>
      <c r="S51" s="15">
        <f>559061+14640</f>
        <v>573701</v>
      </c>
      <c r="T51" s="15">
        <f t="shared" ref="T51:X51" si="46">O51*18%</f>
        <v>0</v>
      </c>
      <c r="U51" s="15">
        <f t="shared" si="46"/>
        <v>193894.02</v>
      </c>
      <c r="V51" s="15">
        <f t="shared" si="46"/>
        <v>0</v>
      </c>
      <c r="W51" s="15">
        <f t="shared" si="46"/>
        <v>0</v>
      </c>
      <c r="X51" s="15">
        <f t="shared" si="46"/>
        <v>103266.18</v>
      </c>
      <c r="Y51" s="15">
        <f>47315+123817.6</f>
        <v>171132.6</v>
      </c>
      <c r="Z51" s="33">
        <f t="shared" si="1"/>
        <v>3755433</v>
      </c>
      <c r="AA51" s="15">
        <f t="shared" si="2"/>
        <v>0.199999999895226</v>
      </c>
      <c r="AB51" s="34">
        <f t="shared" si="3"/>
        <v>-14640.1999999999</v>
      </c>
      <c r="AC51" s="14" t="s">
        <v>75</v>
      </c>
    </row>
    <row r="52" s="3" customFormat="1" customHeight="1" spans="1:29">
      <c r="A52" s="14">
        <v>48</v>
      </c>
      <c r="B52" s="14" t="s">
        <v>58</v>
      </c>
      <c r="C52" s="14">
        <v>76</v>
      </c>
      <c r="D52" s="15">
        <v>3140000</v>
      </c>
      <c r="E52" s="16">
        <f>25000+200000</f>
        <v>225000</v>
      </c>
      <c r="F52" s="16">
        <f>250000+200000+200000</f>
        <v>650000</v>
      </c>
      <c r="G52" s="16">
        <f>1454000-477000</f>
        <v>977000</v>
      </c>
      <c r="H52" s="16">
        <v>1366500</v>
      </c>
      <c r="I52" s="16">
        <v>1036194</v>
      </c>
      <c r="J52" s="21">
        <v>73073</v>
      </c>
      <c r="K52" s="15">
        <v>1850000</v>
      </c>
      <c r="L52" s="15"/>
      <c r="M52" s="15"/>
      <c r="N52" s="15">
        <v>542500</v>
      </c>
      <c r="O52" s="15">
        <v>2000</v>
      </c>
      <c r="P52" s="15">
        <f>816000+7000+202500</f>
        <v>1025500</v>
      </c>
      <c r="Q52" s="15">
        <v>0</v>
      </c>
      <c r="R52" s="15"/>
      <c r="S52" s="15">
        <v>559892</v>
      </c>
      <c r="T52" s="15">
        <f t="shared" ref="T52:X52" si="47">O52*18%</f>
        <v>360</v>
      </c>
      <c r="U52" s="15">
        <f t="shared" si="47"/>
        <v>184590</v>
      </c>
      <c r="V52" s="15">
        <f t="shared" si="47"/>
        <v>0</v>
      </c>
      <c r="W52" s="15">
        <f t="shared" si="47"/>
        <v>0</v>
      </c>
      <c r="X52" s="15">
        <f t="shared" si="47"/>
        <v>100780.56</v>
      </c>
      <c r="Y52" s="15">
        <f>390+52550+9204</f>
        <v>62144</v>
      </c>
      <c r="Z52" s="33">
        <f t="shared" si="1"/>
        <v>4327767</v>
      </c>
      <c r="AA52" s="15">
        <f t="shared" si="2"/>
        <v>0.440000000002328</v>
      </c>
      <c r="AB52" s="34">
        <f t="shared" si="3"/>
        <v>-839892.44</v>
      </c>
      <c r="AC52" s="14"/>
    </row>
    <row r="53" s="3" customFormat="1" customHeight="1" spans="1:29">
      <c r="A53" s="14">
        <v>49</v>
      </c>
      <c r="B53" s="14" t="s">
        <v>59</v>
      </c>
      <c r="C53" s="14">
        <v>81</v>
      </c>
      <c r="D53" s="15">
        <v>5944000</v>
      </c>
      <c r="E53" s="16">
        <v>0</v>
      </c>
      <c r="F53" s="16">
        <v>0</v>
      </c>
      <c r="G53" s="16">
        <v>225000</v>
      </c>
      <c r="H53" s="16">
        <v>4212264</v>
      </c>
      <c r="I53" s="21">
        <v>925480</v>
      </c>
      <c r="J53" s="21"/>
      <c r="K53" s="15"/>
      <c r="L53" s="15">
        <v>1386000</v>
      </c>
      <c r="M53" s="15">
        <v>693000</v>
      </c>
      <c r="N53" s="15"/>
      <c r="O53" s="15"/>
      <c r="P53" s="15">
        <v>0</v>
      </c>
      <c r="Q53" s="15">
        <f>693000+693000</f>
        <v>1386000</v>
      </c>
      <c r="R53" s="15">
        <v>693000</v>
      </c>
      <c r="S53" s="15"/>
      <c r="T53" s="15">
        <f t="shared" ref="T53:X53" si="48">O53*18%</f>
        <v>0</v>
      </c>
      <c r="U53" s="15">
        <f t="shared" si="48"/>
        <v>0</v>
      </c>
      <c r="V53" s="15">
        <f t="shared" si="48"/>
        <v>249480</v>
      </c>
      <c r="W53" s="15">
        <f t="shared" si="48"/>
        <v>124740</v>
      </c>
      <c r="X53" s="15">
        <f t="shared" si="48"/>
        <v>0</v>
      </c>
      <c r="Y53" s="15">
        <v>9204</v>
      </c>
      <c r="Z53" s="33">
        <f t="shared" si="1"/>
        <v>5362744</v>
      </c>
      <c r="AA53" s="15">
        <f t="shared" si="2"/>
        <v>821320</v>
      </c>
      <c r="AB53" s="34">
        <f t="shared" si="3"/>
        <v>964680</v>
      </c>
      <c r="AC53" s="14"/>
    </row>
    <row r="54" s="3" customFormat="1" customHeight="1" spans="1:29">
      <c r="A54" s="14">
        <v>50</v>
      </c>
      <c r="B54" s="14" t="s">
        <v>60</v>
      </c>
      <c r="C54" s="14">
        <v>82</v>
      </c>
      <c r="D54" s="15">
        <v>5800000</v>
      </c>
      <c r="E54" s="16">
        <v>0</v>
      </c>
      <c r="F54" s="16">
        <v>0</v>
      </c>
      <c r="G54" s="16">
        <v>225000</v>
      </c>
      <c r="H54" s="16">
        <v>3853704</v>
      </c>
      <c r="I54" s="16">
        <v>1151500</v>
      </c>
      <c r="J54" s="21"/>
      <c r="K54" s="15"/>
      <c r="L54" s="15">
        <v>1350000</v>
      </c>
      <c r="M54" s="15">
        <v>675000</v>
      </c>
      <c r="N54" s="15"/>
      <c r="O54" s="15"/>
      <c r="P54" s="15">
        <v>0</v>
      </c>
      <c r="Q54" s="15">
        <f>675000+675000</f>
        <v>1350000</v>
      </c>
      <c r="R54" s="15">
        <v>675000</v>
      </c>
      <c r="S54" s="15"/>
      <c r="T54" s="15">
        <f t="shared" ref="T54:X55" si="49">O54*18%</f>
        <v>0</v>
      </c>
      <c r="U54" s="15">
        <f t="shared" si="49"/>
        <v>0</v>
      </c>
      <c r="V54" s="15">
        <f t="shared" si="49"/>
        <v>243000</v>
      </c>
      <c r="W54" s="15">
        <f t="shared" si="49"/>
        <v>121500</v>
      </c>
      <c r="X54" s="15">
        <f t="shared" si="49"/>
        <v>0</v>
      </c>
      <c r="Y54" s="15">
        <v>9204</v>
      </c>
      <c r="Z54" s="33">
        <f t="shared" si="1"/>
        <v>5230204</v>
      </c>
      <c r="AA54" s="15">
        <f t="shared" si="2"/>
        <v>806500</v>
      </c>
      <c r="AB54" s="34">
        <f t="shared" si="3"/>
        <v>943500</v>
      </c>
      <c r="AC54" s="14"/>
    </row>
    <row r="55" s="3" customFormat="1" customHeight="1" spans="1:29">
      <c r="A55" s="14">
        <v>51</v>
      </c>
      <c r="B55" s="14" t="s">
        <v>61</v>
      </c>
      <c r="C55" s="14">
        <v>84</v>
      </c>
      <c r="D55" s="15">
        <v>4600000</v>
      </c>
      <c r="E55" s="16"/>
      <c r="F55" s="16"/>
      <c r="G55" s="16"/>
      <c r="H55" s="16">
        <f>225000+690000+545000</f>
        <v>1460000</v>
      </c>
      <c r="I55" s="21">
        <v>1920023.6</v>
      </c>
      <c r="J55" s="21">
        <v>2025094.4</v>
      </c>
      <c r="K55" s="15">
        <v>0</v>
      </c>
      <c r="L55" s="15">
        <v>1050000</v>
      </c>
      <c r="M55" s="15">
        <v>525000</v>
      </c>
      <c r="N55" s="15">
        <v>525000</v>
      </c>
      <c r="O55" s="15">
        <v>0</v>
      </c>
      <c r="P55" s="15">
        <v>0</v>
      </c>
      <c r="Q55" s="15">
        <v>1050000</v>
      </c>
      <c r="R55" s="15">
        <v>525000</v>
      </c>
      <c r="S55" s="15">
        <v>525000</v>
      </c>
      <c r="T55" s="15">
        <f t="shared" ref="T55:X55" si="50">O55*18%</f>
        <v>0</v>
      </c>
      <c r="U55" s="15">
        <f t="shared" si="50"/>
        <v>0</v>
      </c>
      <c r="V55" s="15">
        <f t="shared" si="50"/>
        <v>189000</v>
      </c>
      <c r="W55" s="15">
        <f t="shared" si="49"/>
        <v>94500</v>
      </c>
      <c r="X55" s="15">
        <f t="shared" si="50"/>
        <v>94500</v>
      </c>
      <c r="Y55" s="15">
        <v>0</v>
      </c>
      <c r="Z55" s="33">
        <f t="shared" si="1"/>
        <v>5405118</v>
      </c>
      <c r="AA55" s="15">
        <f t="shared" si="2"/>
        <v>827118</v>
      </c>
      <c r="AB55" s="34">
        <f t="shared" si="3"/>
        <v>-427118</v>
      </c>
      <c r="AC55" s="14"/>
    </row>
    <row r="56" s="3" customFormat="1" customHeight="1" spans="1:29">
      <c r="A56" s="14">
        <v>52</v>
      </c>
      <c r="B56" s="14" t="s">
        <v>62</v>
      </c>
      <c r="C56" s="14">
        <v>87</v>
      </c>
      <c r="D56" s="15">
        <v>4300000</v>
      </c>
      <c r="E56" s="16">
        <v>0</v>
      </c>
      <c r="F56" s="16">
        <v>0</v>
      </c>
      <c r="G56" s="16">
        <v>525000</v>
      </c>
      <c r="H56" s="16">
        <f>300000+2629000</f>
        <v>2929000</v>
      </c>
      <c r="I56" s="16"/>
      <c r="J56" s="21">
        <v>846000</v>
      </c>
      <c r="K56" s="15">
        <v>0</v>
      </c>
      <c r="L56" s="15">
        <v>1462500</v>
      </c>
      <c r="M56" s="15"/>
      <c r="N56" s="15"/>
      <c r="O56" s="15">
        <v>0</v>
      </c>
      <c r="P56" s="15">
        <v>0</v>
      </c>
      <c r="Q56" s="15">
        <f>487500+975000</f>
        <v>1462500</v>
      </c>
      <c r="R56" s="15"/>
      <c r="S56" s="15"/>
      <c r="T56" s="15">
        <f t="shared" ref="T56:X56" si="51">O56*18%</f>
        <v>0</v>
      </c>
      <c r="U56" s="15">
        <f t="shared" si="51"/>
        <v>0</v>
      </c>
      <c r="V56" s="15">
        <f t="shared" si="51"/>
        <v>263250</v>
      </c>
      <c r="W56" s="15">
        <f t="shared" si="51"/>
        <v>0</v>
      </c>
      <c r="X56" s="15">
        <f t="shared" si="51"/>
        <v>0</v>
      </c>
      <c r="Y56" s="15">
        <v>0</v>
      </c>
      <c r="Z56" s="33">
        <f t="shared" si="1"/>
        <v>4300000</v>
      </c>
      <c r="AA56" s="15">
        <f t="shared" si="2"/>
        <v>1111750</v>
      </c>
      <c r="AB56" s="34">
        <f t="shared" si="3"/>
        <v>263250</v>
      </c>
      <c r="AC56" s="14"/>
    </row>
    <row r="57" s="3" customFormat="1" customHeight="1" spans="1:29">
      <c r="A57" s="14">
        <v>53</v>
      </c>
      <c r="B57" s="14" t="s">
        <v>63</v>
      </c>
      <c r="C57" s="14">
        <v>91</v>
      </c>
      <c r="D57" s="15">
        <v>3564000</v>
      </c>
      <c r="E57" s="16">
        <v>0</v>
      </c>
      <c r="F57" s="16">
        <v>0</v>
      </c>
      <c r="G57" s="16">
        <f>1540500+1563000</f>
        <v>3103500</v>
      </c>
      <c r="H57" s="16">
        <v>0</v>
      </c>
      <c r="I57" s="21">
        <f>500000+537000-100000-90403</f>
        <v>846597</v>
      </c>
      <c r="J57" s="21"/>
      <c r="K57" s="15">
        <v>759000</v>
      </c>
      <c r="L57" s="15">
        <v>427500</v>
      </c>
      <c r="M57" s="15">
        <v>595500</v>
      </c>
      <c r="N57" s="15"/>
      <c r="O57" s="15"/>
      <c r="P57" s="15">
        <f>456000+377000-42000</f>
        <v>791000</v>
      </c>
      <c r="Q57" s="15">
        <v>395500</v>
      </c>
      <c r="R57" s="15">
        <v>595500</v>
      </c>
      <c r="S57" s="15"/>
      <c r="T57" s="15">
        <f t="shared" ref="T57:X57" si="52">O57*18%</f>
        <v>0</v>
      </c>
      <c r="U57" s="15">
        <f t="shared" si="52"/>
        <v>142380</v>
      </c>
      <c r="V57" s="15">
        <f t="shared" si="52"/>
        <v>71190</v>
      </c>
      <c r="W57" s="15">
        <f t="shared" si="52"/>
        <v>107190</v>
      </c>
      <c r="X57" s="15">
        <f t="shared" si="52"/>
        <v>0</v>
      </c>
      <c r="Y57" s="15">
        <f>9204+14443+390+41300</f>
        <v>65337</v>
      </c>
      <c r="Z57" s="33">
        <f t="shared" si="1"/>
        <v>3950097</v>
      </c>
      <c r="AA57" s="15">
        <f t="shared" si="2"/>
        <v>0</v>
      </c>
      <c r="AB57" s="34">
        <f t="shared" si="3"/>
        <v>0</v>
      </c>
      <c r="AC57" s="14" t="s">
        <v>75</v>
      </c>
    </row>
    <row r="58" s="3" customFormat="1" customHeight="1" spans="1:29">
      <c r="A58" s="14"/>
      <c r="B58" s="17" t="s">
        <v>64</v>
      </c>
      <c r="C58" s="17"/>
      <c r="D58" s="18">
        <f t="shared" ref="D58:I58" si="53">SUM(D5:D57)</f>
        <v>250785500</v>
      </c>
      <c r="E58" s="18">
        <f t="shared" si="53"/>
        <v>4580000</v>
      </c>
      <c r="F58" s="18">
        <f t="shared" si="53"/>
        <v>22831620</v>
      </c>
      <c r="G58" s="18">
        <f t="shared" si="53"/>
        <v>34296394</v>
      </c>
      <c r="H58" s="18">
        <f t="shared" si="53"/>
        <v>72351747</v>
      </c>
      <c r="I58" s="18">
        <f t="shared" si="53"/>
        <v>93509830.6</v>
      </c>
      <c r="J58" s="18"/>
      <c r="K58" s="22">
        <f t="shared" ref="K58:M58" si="54">SUM(K5:K57)</f>
        <v>28752480</v>
      </c>
      <c r="L58" s="22">
        <f t="shared" si="54"/>
        <v>28887064</v>
      </c>
      <c r="M58" s="23">
        <f t="shared" si="54"/>
        <v>24596918</v>
      </c>
      <c r="N58" s="23"/>
      <c r="O58" s="23">
        <f t="shared" ref="O58:R58" si="55">SUM(O5:O57)</f>
        <v>6600250</v>
      </c>
      <c r="P58" s="23">
        <f t="shared" si="55"/>
        <v>20219914</v>
      </c>
      <c r="Q58" s="23">
        <f t="shared" si="55"/>
        <v>28898000</v>
      </c>
      <c r="R58" s="23">
        <f t="shared" si="55"/>
        <v>25059082</v>
      </c>
      <c r="S58" s="23"/>
      <c r="T58" s="23">
        <f t="shared" ref="T58:V58" si="56">SUM(T5:T57)</f>
        <v>1188045</v>
      </c>
      <c r="U58" s="23">
        <f t="shared" si="56"/>
        <v>3639584.52</v>
      </c>
      <c r="V58" s="23">
        <f t="shared" si="56"/>
        <v>5201640</v>
      </c>
      <c r="W58" s="23">
        <f>R58*18%</f>
        <v>4510634.76</v>
      </c>
      <c r="X58" s="23"/>
      <c r="Y58" s="22">
        <f t="shared" ref="Y58:AB58" si="57">SUM(Y5:Y57)</f>
        <v>4420147</v>
      </c>
      <c r="Z58" s="35">
        <f>E58+F58+G58+H58+I58</f>
        <v>227569591.6</v>
      </c>
      <c r="AA58" s="36">
        <f t="shared" si="57"/>
        <v>27750246.2216</v>
      </c>
      <c r="AB58" s="35">
        <f t="shared" si="57"/>
        <v>27417276.8984</v>
      </c>
      <c r="AC58" s="14"/>
    </row>
    <row r="60" s="3" customFormat="1" customHeight="1" spans="1:28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9"/>
      <c r="AB60" s="8"/>
    </row>
  </sheetData>
  <printOptions gridLines="1"/>
  <pageMargins left="0.275590551181102" right="0.078740157480315" top="0.433070866141732" bottom="0.590551181102362" header="0.31496062992126" footer="0.31496062992126"/>
  <pageSetup paperSize="1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22.11.2021</vt:lpstr>
      <vt:lpstr>27.10.2022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temp</cp:lastModifiedBy>
  <dcterms:created xsi:type="dcterms:W3CDTF">2018-01-19T13:05:00Z</dcterms:created>
  <cp:lastPrinted>2021-03-23T06:28:00Z</cp:lastPrinted>
  <dcterms:modified xsi:type="dcterms:W3CDTF">2022-10-27T12:16:29Z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A4753FEFACF94A448AAB9FFED93BA45A</vt:lpwstr>
  </property>
</Properties>
</file>