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219EADE6-790E-475D-93B7-D20AA63455D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Sheet2!$A$5:$W$5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</workbook>
</file>

<file path=xl/calcChain.xml><?xml version="1.0" encoding="utf-8"?>
<calcChain xmlns="http://schemas.openxmlformats.org/spreadsheetml/2006/main">
  <c r="R57" i="3" l="1"/>
  <c r="R56" i="3"/>
  <c r="R54" i="3"/>
  <c r="R53" i="3"/>
  <c r="R50" i="3"/>
  <c r="P31" i="3"/>
  <c r="U31" i="3" s="1"/>
  <c r="P63" i="3"/>
  <c r="R62" i="3"/>
  <c r="R52" i="3"/>
  <c r="P48" i="3"/>
  <c r="U48" i="3" s="1"/>
  <c r="R47" i="3"/>
  <c r="R46" i="3"/>
  <c r="R45" i="3"/>
  <c r="R44" i="3"/>
  <c r="R43" i="3"/>
  <c r="R42" i="3"/>
  <c r="R41" i="3"/>
  <c r="P39" i="3"/>
  <c r="R34" i="3"/>
  <c r="R33" i="3"/>
  <c r="R32" i="3"/>
  <c r="T27" i="3"/>
  <c r="O27" i="3"/>
  <c r="R27" i="3"/>
  <c r="P27" i="3"/>
  <c r="T11" i="3"/>
  <c r="R11" i="3"/>
  <c r="T17" i="3"/>
  <c r="P17" i="3"/>
  <c r="O17" i="3"/>
  <c r="R17" i="3"/>
  <c r="U15" i="3"/>
  <c r="P15" i="3"/>
  <c r="R67" i="3"/>
  <c r="R66" i="3"/>
  <c r="P66" i="3"/>
  <c r="R65" i="3"/>
  <c r="R64" i="3"/>
  <c r="R63" i="3"/>
  <c r="P64" i="3"/>
  <c r="P45" i="3"/>
  <c r="P22" i="3"/>
  <c r="T22" i="3"/>
  <c r="R22" i="3"/>
  <c r="P43" i="3"/>
  <c r="P40" i="3"/>
  <c r="U40" i="3" s="1"/>
  <c r="R39" i="3"/>
  <c r="P38" i="3"/>
  <c r="R38" i="3"/>
  <c r="R37" i="3"/>
  <c r="R36" i="3"/>
  <c r="R25" i="3"/>
  <c r="R24" i="3"/>
  <c r="P24" i="3"/>
  <c r="R23" i="3"/>
  <c r="P23" i="3"/>
  <c r="O21" i="3"/>
  <c r="P21" i="3"/>
  <c r="R21" i="3"/>
  <c r="T21" i="3"/>
  <c r="U20" i="3"/>
  <c r="U19" i="3"/>
  <c r="O18" i="3"/>
  <c r="U18" i="3" s="1"/>
  <c r="T18" i="3"/>
  <c r="R18" i="3"/>
  <c r="O16" i="3"/>
  <c r="U16" i="3"/>
  <c r="T16" i="3"/>
  <c r="P16" i="3"/>
  <c r="R16" i="3"/>
  <c r="U10" i="3"/>
  <c r="P10" i="3"/>
  <c r="O10" i="3"/>
  <c r="T10" i="3"/>
  <c r="R10" i="3"/>
  <c r="P18" i="3"/>
  <c r="U6" i="3"/>
  <c r="U7" i="3"/>
  <c r="U8" i="3"/>
  <c r="U9" i="3"/>
  <c r="U12" i="3"/>
  <c r="U13" i="3"/>
  <c r="U14" i="3"/>
  <c r="U26" i="3"/>
  <c r="U28" i="3"/>
  <c r="U29" i="3"/>
  <c r="U30" i="3"/>
  <c r="U49" i="3"/>
  <c r="U51" i="3"/>
  <c r="U60" i="3"/>
  <c r="U68" i="3"/>
  <c r="P56" i="3"/>
  <c r="P52" i="3"/>
  <c r="P42" i="3"/>
  <c r="P41" i="3"/>
  <c r="O12" i="3"/>
  <c r="R12" i="3"/>
  <c r="T12" i="3" l="1"/>
  <c r="R9" i="3" l="1"/>
  <c r="T8" i="3"/>
  <c r="R8" i="3"/>
  <c r="T7" i="3" l="1"/>
  <c r="R7" i="3"/>
  <c r="T6" i="3"/>
  <c r="O6" i="3"/>
  <c r="P6" i="3"/>
  <c r="G51" i="3"/>
  <c r="N51" i="3"/>
  <c r="Q51" i="3"/>
  <c r="Q5" i="6"/>
  <c r="J23" i="6"/>
  <c r="H23" i="6"/>
  <c r="S21" i="6"/>
  <c r="H5" i="6"/>
  <c r="G25" i="6"/>
  <c r="Q15" i="6"/>
  <c r="O23" i="6"/>
  <c r="O15" i="6"/>
  <c r="M15" i="6"/>
  <c r="M23" i="6"/>
  <c r="Q23" i="6" s="1"/>
  <c r="Q14" i="6"/>
  <c r="Q24" i="6"/>
  <c r="O11" i="6"/>
  <c r="Q11" i="6" s="1"/>
  <c r="Q10" i="6"/>
  <c r="O10" i="6"/>
  <c r="O9" i="6"/>
  <c r="O7" i="6"/>
  <c r="N6" i="6"/>
  <c r="O6" i="6" s="1"/>
  <c r="Q6" i="6" s="1"/>
  <c r="M6" i="6"/>
  <c r="H6" i="6"/>
  <c r="S6" i="6" s="1"/>
  <c r="M10" i="6"/>
  <c r="M9" i="6"/>
  <c r="Q9" i="6" s="1"/>
  <c r="S24" i="6"/>
  <c r="H15" i="6"/>
  <c r="H10" i="6"/>
  <c r="H9" i="6"/>
  <c r="J6" i="6"/>
  <c r="M7" i="6"/>
  <c r="R6" i="3"/>
  <c r="J14" i="6"/>
  <c r="S14" i="6" s="1"/>
  <c r="H14" i="6"/>
  <c r="J11" i="6"/>
  <c r="P5" i="6"/>
  <c r="P18" i="6"/>
  <c r="P16" i="6"/>
  <c r="P17" i="6"/>
  <c r="P13" i="6"/>
  <c r="M13" i="6"/>
  <c r="M12" i="6"/>
  <c r="P12" i="6"/>
  <c r="P8" i="6"/>
  <c r="O21" i="6"/>
  <c r="H12" i="6"/>
  <c r="H11" i="6"/>
  <c r="S11" i="6" s="1"/>
  <c r="H8" i="6"/>
  <c r="H7" i="6"/>
  <c r="M22" i="6"/>
  <c r="M20" i="6"/>
  <c r="M19" i="6"/>
  <c r="M18" i="6"/>
  <c r="M17" i="6"/>
  <c r="M8" i="6"/>
  <c r="M5" i="6"/>
  <c r="Q7" i="6" l="1"/>
  <c r="S23" i="6"/>
  <c r="M16" i="6"/>
  <c r="J16" i="6"/>
  <c r="P54" i="3"/>
  <c r="P51" i="3"/>
  <c r="P50" i="3"/>
  <c r="P67" i="3"/>
  <c r="P62" i="3"/>
  <c r="P59" i="3"/>
  <c r="R48" i="3"/>
  <c r="P46" i="3"/>
  <c r="P44" i="3"/>
  <c r="R40" i="3"/>
  <c r="P37" i="3"/>
  <c r="P36" i="3"/>
  <c r="P34" i="3"/>
  <c r="P33" i="3"/>
  <c r="P32" i="3"/>
  <c r="P30" i="3"/>
  <c r="O30" i="3"/>
  <c r="R30" i="3"/>
  <c r="R29" i="3"/>
  <c r="P26" i="3"/>
  <c r="P25" i="3"/>
  <c r="T20" i="3"/>
  <c r="R20" i="3"/>
  <c r="P19" i="3"/>
  <c r="P20" i="3"/>
  <c r="O20" i="3"/>
  <c r="T19" i="3"/>
  <c r="R19" i="3"/>
  <c r="O19" i="3"/>
  <c r="R15" i="3"/>
  <c r="P14" i="3"/>
  <c r="R14" i="3"/>
  <c r="P12" i="3"/>
  <c r="J13" i="6"/>
  <c r="S13" i="6" s="1"/>
  <c r="O11" i="3"/>
  <c r="P11" i="3"/>
  <c r="P9" i="3"/>
  <c r="S16" i="6" l="1"/>
  <c r="O8" i="3" l="1"/>
  <c r="P8" i="3"/>
  <c r="P7" i="3"/>
  <c r="O7" i="3"/>
  <c r="J18" i="6"/>
  <c r="S18" i="6" s="1"/>
  <c r="J22" i="6"/>
  <c r="S22" i="6" s="1"/>
  <c r="J19" i="6"/>
  <c r="S19" i="6" s="1"/>
  <c r="J5" i="6"/>
  <c r="S5" i="6" s="1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J15" i="10" l="1"/>
  <c r="P2" i="3"/>
  <c r="S41" i="3"/>
  <c r="U41" i="3" s="1"/>
  <c r="S42" i="3"/>
  <c r="U42" i="3" s="1"/>
  <c r="S43" i="3"/>
  <c r="U43" i="3" s="1"/>
  <c r="S44" i="3"/>
  <c r="U44" i="3" s="1"/>
  <c r="S45" i="3"/>
  <c r="U45" i="3" s="1"/>
  <c r="S46" i="3"/>
  <c r="U46" i="3" s="1"/>
  <c r="S47" i="3"/>
  <c r="U47" i="3" s="1"/>
  <c r="S48" i="3"/>
  <c r="S49" i="3"/>
  <c r="S50" i="3"/>
  <c r="U50" i="3" s="1"/>
  <c r="S52" i="3"/>
  <c r="U52" i="3" s="1"/>
  <c r="S53" i="3"/>
  <c r="U53" i="3" s="1"/>
  <c r="S54" i="3"/>
  <c r="U54" i="3" s="1"/>
  <c r="S55" i="3"/>
  <c r="U55" i="3" s="1"/>
  <c r="S56" i="3"/>
  <c r="U56" i="3" s="1"/>
  <c r="S57" i="3"/>
  <c r="U57" i="3" s="1"/>
  <c r="S58" i="3"/>
  <c r="U58" i="3" s="1"/>
  <c r="S59" i="3"/>
  <c r="U59" i="3" s="1"/>
  <c r="S60" i="3"/>
  <c r="S61" i="3"/>
  <c r="U61" i="3" s="1"/>
  <c r="S62" i="3"/>
  <c r="U62" i="3" s="1"/>
  <c r="S63" i="3"/>
  <c r="U63" i="3" s="1"/>
  <c r="S64" i="3"/>
  <c r="U64" i="3" s="1"/>
  <c r="S65" i="3"/>
  <c r="U65" i="3" s="1"/>
  <c r="S66" i="3"/>
  <c r="U66" i="3" s="1"/>
  <c r="S67" i="3"/>
  <c r="U67" i="3" s="1"/>
  <c r="S40" i="3"/>
  <c r="O49" i="3" l="1"/>
  <c r="O48" i="3"/>
  <c r="O47" i="3"/>
  <c r="O46" i="3"/>
  <c r="O38" i="3"/>
  <c r="O28" i="3"/>
  <c r="O25" i="3"/>
  <c r="O24" i="3"/>
  <c r="O23" i="3"/>
  <c r="O22" i="3"/>
  <c r="O15" i="3"/>
  <c r="O69" i="3" l="1"/>
  <c r="K6" i="3"/>
  <c r="K7" i="3" l="1"/>
  <c r="K8" i="3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R21" i="6"/>
  <c r="I21" i="6"/>
  <c r="R19" i="6"/>
  <c r="R15" i="6"/>
  <c r="R11" i="6"/>
  <c r="R7" i="6"/>
  <c r="R5" i="6"/>
  <c r="J9" i="6"/>
  <c r="S9" i="6" s="1"/>
  <c r="J8" i="6"/>
  <c r="S8" i="6" s="1"/>
  <c r="J12" i="6"/>
  <c r="S12" i="6" s="1"/>
  <c r="L24" i="6"/>
  <c r="I24" i="6"/>
  <c r="K24" i="6" s="1"/>
  <c r="J15" i="6"/>
  <c r="S15" i="6" s="1"/>
  <c r="J20" i="6"/>
  <c r="S20" i="6" s="1"/>
  <c r="J17" i="6"/>
  <c r="S17" i="6" s="1"/>
  <c r="J10" i="6"/>
  <c r="S10" i="6" s="1"/>
  <c r="J7" i="6"/>
  <c r="S7" i="6" s="1"/>
  <c r="M25" i="6"/>
  <c r="R6" i="6"/>
  <c r="R8" i="6"/>
  <c r="R9" i="6"/>
  <c r="R10" i="6"/>
  <c r="R12" i="6"/>
  <c r="R13" i="6"/>
  <c r="R14" i="6"/>
  <c r="R16" i="6"/>
  <c r="R17" i="6"/>
  <c r="R18" i="6"/>
  <c r="R20" i="6"/>
  <c r="R23" i="6"/>
  <c r="K69" i="3" l="1"/>
  <c r="J25" i="6"/>
  <c r="H25" i="6"/>
  <c r="R22" i="6"/>
  <c r="R25" i="6" s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2" i="6"/>
  <c r="L23" i="6"/>
  <c r="L5" i="6"/>
  <c r="I23" i="6"/>
  <c r="K23" i="6" s="1"/>
  <c r="I22" i="6"/>
  <c r="K22" i="6" s="1"/>
  <c r="P22" i="6" s="1"/>
  <c r="I20" i="6"/>
  <c r="K20" i="6" s="1"/>
  <c r="P20" i="6" s="1"/>
  <c r="I19" i="6"/>
  <c r="K19" i="6" s="1"/>
  <c r="P19" i="6" s="1"/>
  <c r="I18" i="6"/>
  <c r="K18" i="6" s="1"/>
  <c r="I17" i="6"/>
  <c r="K17" i="6" s="1"/>
  <c r="I16" i="6"/>
  <c r="K16" i="6" s="1"/>
  <c r="I15" i="6"/>
  <c r="K15" i="6" s="1"/>
  <c r="I14" i="6"/>
  <c r="K14" i="6" s="1"/>
  <c r="I13" i="6"/>
  <c r="K13" i="6" s="1"/>
  <c r="I12" i="6"/>
  <c r="K12" i="6" s="1"/>
  <c r="I11" i="6"/>
  <c r="K11" i="6" s="1"/>
  <c r="I10" i="6"/>
  <c r="K10" i="6" s="1"/>
  <c r="I9" i="6"/>
  <c r="K9" i="6" s="1"/>
  <c r="I8" i="6"/>
  <c r="K8" i="6" s="1"/>
  <c r="I7" i="6"/>
  <c r="K7" i="6" s="1"/>
  <c r="I6" i="6"/>
  <c r="K6" i="6" s="1"/>
  <c r="I5" i="6"/>
  <c r="K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7" i="3"/>
  <c r="M66" i="3"/>
  <c r="M65" i="3"/>
  <c r="M59" i="3"/>
  <c r="M58" i="3"/>
  <c r="M57" i="3"/>
  <c r="M56" i="3"/>
  <c r="M54" i="3"/>
  <c r="M44" i="3"/>
  <c r="J6" i="3"/>
  <c r="H6" i="3"/>
  <c r="M6" i="3" s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O22" i="6" l="1"/>
  <c r="Q22" i="6" s="1"/>
  <c r="N17" i="6"/>
  <c r="Q17" i="6" s="1"/>
  <c r="O17" i="6"/>
  <c r="Q13" i="6"/>
  <c r="O13" i="6"/>
  <c r="N20" i="6"/>
  <c r="Q20" i="6" s="1"/>
  <c r="O20" i="6"/>
  <c r="O16" i="6"/>
  <c r="N16" i="6"/>
  <c r="Q12" i="6"/>
  <c r="O12" i="6"/>
  <c r="P25" i="6"/>
  <c r="O19" i="6"/>
  <c r="N19" i="6"/>
  <c r="Q19" i="6" s="1"/>
  <c r="N18" i="6"/>
  <c r="O18" i="6"/>
  <c r="O8" i="6"/>
  <c r="O5" i="6"/>
  <c r="K25" i="6"/>
  <c r="I25" i="6"/>
  <c r="L25" i="6"/>
  <c r="Q22" i="4"/>
  <c r="O12" i="4"/>
  <c r="P22" i="4"/>
  <c r="F22" i="4"/>
  <c r="M22" i="4"/>
  <c r="I22" i="4"/>
  <c r="O22" i="4"/>
  <c r="Q18" i="6" l="1"/>
  <c r="O25" i="6"/>
  <c r="Q16" i="6"/>
  <c r="N25" i="6"/>
  <c r="Q8" i="6"/>
  <c r="R13" i="3"/>
  <c r="F69" i="3"/>
  <c r="Q68" i="3"/>
  <c r="S8" i="3"/>
  <c r="S9" i="3"/>
  <c r="S10" i="3"/>
  <c r="S11" i="3"/>
  <c r="U11" i="3" s="1"/>
  <c r="S15" i="3"/>
  <c r="S19" i="3"/>
  <c r="S20" i="3"/>
  <c r="S21" i="3"/>
  <c r="U21" i="3" s="1"/>
  <c r="S24" i="3"/>
  <c r="U24" i="3" s="1"/>
  <c r="S26" i="3"/>
  <c r="S27" i="3"/>
  <c r="U27" i="3" s="1"/>
  <c r="S28" i="3"/>
  <c r="S29" i="3"/>
  <c r="S30" i="3"/>
  <c r="S31" i="3"/>
  <c r="S32" i="3"/>
  <c r="U32" i="3" s="1"/>
  <c r="S33" i="3"/>
  <c r="U33" i="3" s="1"/>
  <c r="S34" i="3"/>
  <c r="U34" i="3" s="1"/>
  <c r="S35" i="3"/>
  <c r="U35" i="3" s="1"/>
  <c r="S36" i="3"/>
  <c r="U36" i="3" s="1"/>
  <c r="S37" i="3"/>
  <c r="U37" i="3" s="1"/>
  <c r="S38" i="3"/>
  <c r="U38" i="3" s="1"/>
  <c r="S39" i="3"/>
  <c r="U39" i="3" s="1"/>
  <c r="S68" i="3"/>
  <c r="J64" i="3"/>
  <c r="H64" i="3"/>
  <c r="J63" i="3"/>
  <c r="J62" i="3"/>
  <c r="H63" i="3"/>
  <c r="H61" i="3"/>
  <c r="M61" i="3" s="1"/>
  <c r="H60" i="3"/>
  <c r="M60" i="3" s="1"/>
  <c r="H55" i="3"/>
  <c r="M55" i="3" s="1"/>
  <c r="H53" i="3"/>
  <c r="M53" i="3" s="1"/>
  <c r="H52" i="3"/>
  <c r="M52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Q31" i="3" s="1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S22" i="3" l="1"/>
  <c r="U22" i="3" s="1"/>
  <c r="M24" i="3"/>
  <c r="M45" i="3"/>
  <c r="M47" i="3"/>
  <c r="M23" i="3"/>
  <c r="M38" i="3"/>
  <c r="M48" i="3"/>
  <c r="M64" i="3"/>
  <c r="S12" i="3"/>
  <c r="S23" i="3"/>
  <c r="U23" i="3" s="1"/>
  <c r="I31" i="3"/>
  <c r="S17" i="3"/>
  <c r="U17" i="3" s="1"/>
  <c r="U69" i="3" s="1"/>
  <c r="M22" i="3"/>
  <c r="M28" i="3"/>
  <c r="M46" i="3"/>
  <c r="M63" i="3"/>
  <c r="S7" i="3"/>
  <c r="S13" i="3"/>
  <c r="S18" i="3"/>
  <c r="S16" i="3"/>
  <c r="S25" i="3"/>
  <c r="U25" i="3" s="1"/>
  <c r="M21" i="3"/>
  <c r="M25" i="3"/>
  <c r="M27" i="3"/>
  <c r="M33" i="3"/>
  <c r="M37" i="3"/>
  <c r="S6" i="3"/>
  <c r="S14" i="3"/>
  <c r="J20" i="3"/>
  <c r="H20" i="3"/>
  <c r="J19" i="3"/>
  <c r="H19" i="3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9" i="3" l="1"/>
  <c r="M11" i="3"/>
  <c r="M10" i="3"/>
  <c r="M17" i="3"/>
  <c r="M18" i="3"/>
  <c r="M16" i="3"/>
  <c r="M20" i="3"/>
  <c r="S69" i="3"/>
  <c r="J8" i="3"/>
  <c r="H8" i="3"/>
  <c r="J7" i="3"/>
  <c r="H7" i="3"/>
  <c r="J9" i="3"/>
  <c r="M9" i="3" s="1"/>
  <c r="M7" i="3" l="1"/>
  <c r="J69" i="3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V8" i="3"/>
  <c r="H14" i="3"/>
  <c r="M14" i="3" s="1"/>
  <c r="V9" i="3"/>
  <c r="Y9" i="3" s="1"/>
  <c r="V44" i="3"/>
  <c r="Y44" i="3" s="1"/>
  <c r="V45" i="3"/>
  <c r="Y45" i="3" s="1"/>
  <c r="V48" i="3"/>
  <c r="Y48" i="3" s="1"/>
  <c r="V49" i="3"/>
  <c r="Y49" i="3" s="1"/>
  <c r="V50" i="3"/>
  <c r="Y50" i="3" s="1"/>
  <c r="V52" i="3"/>
  <c r="Y52" i="3" s="1"/>
  <c r="V53" i="3"/>
  <c r="Y53" i="3" s="1"/>
  <c r="V54" i="3"/>
  <c r="Y54" i="3" s="1"/>
  <c r="V55" i="3"/>
  <c r="Y55" i="3" s="1"/>
  <c r="V56" i="3"/>
  <c r="Y56" i="3" s="1"/>
  <c r="V57" i="3"/>
  <c r="Y57" i="3" s="1"/>
  <c r="V58" i="3"/>
  <c r="Y58" i="3" s="1"/>
  <c r="V59" i="3"/>
  <c r="Y59" i="3" s="1"/>
  <c r="V60" i="3"/>
  <c r="Y60" i="3" s="1"/>
  <c r="V61" i="3"/>
  <c r="Y61" i="3" s="1"/>
  <c r="V66" i="3"/>
  <c r="Y66" i="3" s="1"/>
  <c r="V67" i="3"/>
  <c r="Y67" i="3" s="1"/>
  <c r="H62" i="3"/>
  <c r="M62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Q9" i="3" s="1"/>
  <c r="N10" i="3"/>
  <c r="Q10" i="3" s="1"/>
  <c r="N11" i="3"/>
  <c r="Q11" i="3" s="1"/>
  <c r="N12" i="3"/>
  <c r="Q12" i="3" s="1"/>
  <c r="N13" i="3"/>
  <c r="Q13" i="3" s="1"/>
  <c r="N14" i="3"/>
  <c r="Q14" i="3" s="1"/>
  <c r="N15" i="3"/>
  <c r="Q15" i="3" s="1"/>
  <c r="N16" i="3"/>
  <c r="Q16" i="3" s="1"/>
  <c r="N17" i="3"/>
  <c r="Q17" i="3" s="1"/>
  <c r="N18" i="3"/>
  <c r="Q18" i="3" s="1"/>
  <c r="N19" i="3"/>
  <c r="Q19" i="3" s="1"/>
  <c r="N20" i="3"/>
  <c r="Q20" i="3" s="1"/>
  <c r="N21" i="3"/>
  <c r="Q21" i="3" s="1"/>
  <c r="N22" i="3"/>
  <c r="Q22" i="3" s="1"/>
  <c r="N23" i="3"/>
  <c r="Q23" i="3" s="1"/>
  <c r="N24" i="3"/>
  <c r="Q24" i="3" s="1"/>
  <c r="N25" i="3"/>
  <c r="Q25" i="3" s="1"/>
  <c r="N26" i="3"/>
  <c r="Q26" i="3" s="1"/>
  <c r="N27" i="3"/>
  <c r="Q27" i="3" s="1"/>
  <c r="N28" i="3"/>
  <c r="Q28" i="3" s="1"/>
  <c r="N29" i="3"/>
  <c r="Q29" i="3" s="1"/>
  <c r="N30" i="3"/>
  <c r="Q30" i="3" s="1"/>
  <c r="N32" i="3"/>
  <c r="Q32" i="3" s="1"/>
  <c r="N33" i="3"/>
  <c r="Q33" i="3" s="1"/>
  <c r="N34" i="3"/>
  <c r="Q34" i="3" s="1"/>
  <c r="N35" i="3"/>
  <c r="Q35" i="3" s="1"/>
  <c r="N36" i="3"/>
  <c r="Q36" i="3" s="1"/>
  <c r="N37" i="3"/>
  <c r="Q37" i="3" s="1"/>
  <c r="N38" i="3"/>
  <c r="Q38" i="3" s="1"/>
  <c r="N39" i="3"/>
  <c r="Q39" i="3" s="1"/>
  <c r="N40" i="3"/>
  <c r="Q40" i="3" s="1"/>
  <c r="N41" i="3"/>
  <c r="Q41" i="3" s="1"/>
  <c r="N42" i="3"/>
  <c r="Q42" i="3" s="1"/>
  <c r="N43" i="3"/>
  <c r="Q43" i="3" s="1"/>
  <c r="N44" i="3"/>
  <c r="Q44" i="3" s="1"/>
  <c r="N45" i="3"/>
  <c r="Q45" i="3" s="1"/>
  <c r="N46" i="3"/>
  <c r="Q46" i="3" s="1"/>
  <c r="N47" i="3"/>
  <c r="Q47" i="3" s="1"/>
  <c r="N48" i="3"/>
  <c r="Q48" i="3" s="1"/>
  <c r="N49" i="3"/>
  <c r="Q49" i="3" s="1"/>
  <c r="N50" i="3"/>
  <c r="Q50" i="3" s="1"/>
  <c r="N52" i="3"/>
  <c r="Q52" i="3" s="1"/>
  <c r="N53" i="3"/>
  <c r="Q53" i="3" s="1"/>
  <c r="N54" i="3"/>
  <c r="Q54" i="3" s="1"/>
  <c r="N55" i="3"/>
  <c r="Q55" i="3" s="1"/>
  <c r="N56" i="3"/>
  <c r="Q56" i="3" s="1"/>
  <c r="N57" i="3"/>
  <c r="Q57" i="3" s="1"/>
  <c r="N58" i="3"/>
  <c r="Q58" i="3" s="1"/>
  <c r="N59" i="3"/>
  <c r="Q59" i="3" s="1"/>
  <c r="N60" i="3"/>
  <c r="Q60" i="3" s="1"/>
  <c r="N61" i="3"/>
  <c r="Q61" i="3" s="1"/>
  <c r="N62" i="3"/>
  <c r="Q62" i="3" s="1"/>
  <c r="N63" i="3"/>
  <c r="Q63" i="3" s="1"/>
  <c r="N64" i="3"/>
  <c r="Q64" i="3" s="1"/>
  <c r="N65" i="3"/>
  <c r="Q65" i="3" s="1"/>
  <c r="N66" i="3"/>
  <c r="Q66" i="3" s="1"/>
  <c r="N67" i="3"/>
  <c r="Q67" i="3" s="1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I61" i="3" s="1"/>
  <c r="G62" i="3"/>
  <c r="G63" i="3"/>
  <c r="G64" i="3"/>
  <c r="G65" i="3"/>
  <c r="G66" i="3"/>
  <c r="I66" i="3" s="1"/>
  <c r="G67" i="3"/>
  <c r="I67" i="3" s="1"/>
  <c r="G6" i="3"/>
  <c r="J13" i="1"/>
  <c r="K13" i="1"/>
  <c r="K44" i="1"/>
  <c r="K41" i="1"/>
  <c r="M36" i="1"/>
  <c r="N2" i="1"/>
  <c r="Q69" i="3" l="1"/>
  <c r="I33" i="3"/>
  <c r="I20" i="3"/>
  <c r="I23" i="3"/>
  <c r="I64" i="3"/>
  <c r="I43" i="3"/>
  <c r="I39" i="3"/>
  <c r="I35" i="3"/>
  <c r="I30" i="3"/>
  <c r="I26" i="3"/>
  <c r="I18" i="3"/>
  <c r="I14" i="3"/>
  <c r="I63" i="3"/>
  <c r="I46" i="3"/>
  <c r="I25" i="3"/>
  <c r="I21" i="3"/>
  <c r="I17" i="3"/>
  <c r="V15" i="3"/>
  <c r="Y15" i="3" s="1"/>
  <c r="V30" i="3"/>
  <c r="Y30" i="3" s="1"/>
  <c r="V36" i="3"/>
  <c r="Y36" i="3" s="1"/>
  <c r="V40" i="3"/>
  <c r="Y40" i="3" s="1"/>
  <c r="V62" i="3"/>
  <c r="Y62" i="3" s="1"/>
  <c r="V16" i="3"/>
  <c r="Y16" i="3" s="1"/>
  <c r="V29" i="3"/>
  <c r="Y29" i="3" s="1"/>
  <c r="I29" i="3"/>
  <c r="I13" i="3"/>
  <c r="V32" i="3"/>
  <c r="Y32" i="3" s="1"/>
  <c r="V37" i="3"/>
  <c r="Y37" i="3" s="1"/>
  <c r="V41" i="3"/>
  <c r="Y41" i="3" s="1"/>
  <c r="V65" i="3"/>
  <c r="Y65" i="3" s="1"/>
  <c r="V10" i="3"/>
  <c r="Y10" i="3" s="1"/>
  <c r="I62" i="3"/>
  <c r="I41" i="3"/>
  <c r="I37" i="3"/>
  <c r="I24" i="3"/>
  <c r="I16" i="3"/>
  <c r="I8" i="3"/>
  <c r="V24" i="3"/>
  <c r="Y24" i="3" s="1"/>
  <c r="V34" i="3"/>
  <c r="Y34" i="3" s="1"/>
  <c r="V38" i="3"/>
  <c r="Y38" i="3" s="1"/>
  <c r="V42" i="3"/>
  <c r="Y42" i="3" s="1"/>
  <c r="V11" i="3"/>
  <c r="Y11" i="3" s="1"/>
  <c r="V22" i="3"/>
  <c r="Y22" i="3" s="1"/>
  <c r="I65" i="3"/>
  <c r="I40" i="3"/>
  <c r="I36" i="3"/>
  <c r="I32" i="3"/>
  <c r="I27" i="3"/>
  <c r="I19" i="3"/>
  <c r="I15" i="3"/>
  <c r="I11" i="3"/>
  <c r="I7" i="3"/>
  <c r="V26" i="3"/>
  <c r="Y26" i="3" s="1"/>
  <c r="V35" i="3"/>
  <c r="Y35" i="3" s="1"/>
  <c r="V39" i="3"/>
  <c r="Y39" i="3" s="1"/>
  <c r="V43" i="3"/>
  <c r="Y43" i="3" s="1"/>
  <c r="V14" i="3"/>
  <c r="Y14" i="3" s="1"/>
  <c r="V23" i="3"/>
  <c r="Y23" i="3" s="1"/>
  <c r="V33" i="3"/>
  <c r="Y33" i="3" s="1"/>
  <c r="I6" i="3"/>
  <c r="V13" i="3"/>
  <c r="Y13" i="3" s="1"/>
  <c r="V20" i="3"/>
  <c r="Y20" i="3" s="1"/>
  <c r="V63" i="3"/>
  <c r="Y63" i="3" s="1"/>
  <c r="V12" i="3"/>
  <c r="Y12" i="3" s="1"/>
  <c r="V64" i="3"/>
  <c r="Y64" i="3" s="1"/>
  <c r="V19" i="3"/>
  <c r="Y19" i="3" s="1"/>
  <c r="V6" i="3"/>
  <c r="Y6" i="3" s="1"/>
  <c r="V47" i="3"/>
  <c r="Y47" i="3" s="1"/>
  <c r="V25" i="3"/>
  <c r="Y25" i="3" s="1"/>
  <c r="V46" i="3"/>
  <c r="Y46" i="3" s="1"/>
  <c r="V28" i="3"/>
  <c r="Y28" i="3" s="1"/>
  <c r="V27" i="3"/>
  <c r="Y27" i="3" s="1"/>
  <c r="V21" i="3"/>
  <c r="Y21" i="3" s="1"/>
  <c r="Y8" i="3"/>
  <c r="V7" i="3"/>
  <c r="Y7" i="3" s="1"/>
  <c r="V17" i="3"/>
  <c r="Y17" i="3" s="1"/>
  <c r="V18" i="3"/>
  <c r="Y18" i="3" s="1"/>
  <c r="G69" i="3"/>
  <c r="H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9" i="3" l="1"/>
  <c r="M69" i="3"/>
  <c r="V69" i="3"/>
  <c r="Y69" i="3" s="1"/>
  <c r="N69" i="3"/>
  <c r="R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<sst xmlns="http://schemas.openxmlformats.org/spreadsheetml/2006/main" count="1463" uniqueCount="250">
  <si>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</si>
  <si>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</si>
  <si>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</si>
  <si>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</si>
  <si>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</si>
  <si>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</si>
  <si>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</si>
  <si>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</si>
  <si>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</si>
  <si>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</si>
  <si>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</si>
  <si>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</si>
  <si>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</si>
  <si>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</si>
  <si>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</si>
  <si>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</si>
  <si>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</si>
  <si>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</si>
  <si>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</si>
  <si>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</si>
  <si>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</si>
  <si>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</si>
  <si>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</si>
  <si>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</si>
  <si>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</si>
  <si>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</si>
  <si>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</si>
  <si>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</si>
  <si>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</si>
  <si>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</si>
  <si>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</si>
  <si>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</si>
  <si>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</si>
  <si>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</si>
  <si>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</si>
  <si>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</si>
  <si>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</si>
  <si>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</si>
  <si>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</si>
  <si>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</si>
  <si>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</si>
  <si>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</si>
  <si>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</si>
  <si>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</si>
  <si>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</si>
  <si>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</si>
  <si>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</si>
  <si>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</si>
  <si>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</si>
  <si>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</si>
  <si>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</si>
  <si>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</si>
  <si>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</si>
  <si>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</si>
  <si>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</si>
  <si>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</si>
  <si>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</si>
  <si>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</si>
  <si>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</si>
  <si>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</si>
  <si>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</si>
  <si>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</si>
  <si>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</si>
  <si>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</si>
  <si>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</si>
  <si>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</si>
  <si>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</si>
  <si>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</si>
  <si>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</si>
  <si>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</si>
  <si>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</si>
  <si>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</si>
  <si>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</si>
  <si>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</si>
  <si>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</si>
  <si>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</si>
  <si>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</si>
  <si>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</si>
  <si>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</si>
  <si>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</si>
  <si>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</si>
  <si>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</si>
  <si>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</si>
  <si>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</si>
  <si>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</si>
  <si>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</si>
  <si>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</si>
  <si>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</si>
  <si>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</si>
  <si>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</si>
  <si>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</si>
  <si>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</si>
  <si>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</si>
  <si>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</si>
  <si>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</si>
  <si>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</si>
  <si>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</si>
  <si>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</si>
  <si>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</si>
  <si>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</si>
  <si>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</si>
  <si>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</si>
  <si>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</si>
  <si>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</si>
  <si>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</si>
  <si>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</si>
  <si>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</si>
  <si>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</si>
  <si>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</si>
  <si>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</si>
  <si>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</si>
  <si>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</si>
  <si>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</si>
  <si>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</si>
  <si>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</si>
  <si>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</si>
  <si>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</si>
  <si>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</si>
  <si>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</si>
  <si>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</si>
  <si>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</si>
  <si>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</si>
  <si>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</si>
  <si>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</si>
  <si>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</si>
  <si>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</si>
  <si>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</si>
  <si>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</si>
  <si>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</si>
  <si>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</si>
  <si>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</si>
  <si>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</si>
  <si>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</si>
  <si>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</si>
  <si>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</si>
  <si>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</si>
  <si>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</si>
  <si>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</si>
  <si>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</si>
  <si>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</si>
  <si>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</si>
  <si>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</si>
  <si>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</si>
  <si>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</si>
  <si>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</si>
  <si>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</si>
  <si>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</si>
  <si>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</si>
  <si>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</si>
  <si>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</si>
  <si>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</si>
  <si>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</si>
  <si>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</si>
  <si>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</si>
  <si>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</si>
  <si>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</si>
  <si>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</si>
  <si>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</si>
  <si>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</si>
  <si>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</si>
  <si>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</si>
  <si>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</si>
  <si>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</si>
  <si>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</si>
  <si>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</si>
  <si>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</si>
  <si>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</si>
  <si>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</si>
  <si>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</si>
  <si>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</si>
  <si>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</si>
  <si>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</si>
  <si>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</si>
  <si>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</si>
  <si>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</si>
  <si>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</si>
  <si>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</si>
  <si>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</si>
  <si>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</si>
  <si>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</si>
  <si>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</si>
  <si>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</si>
  <si>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</si>
  <si>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</si>
  <si>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</si>
  <si>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</si>
  <si>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</si>
  <si>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</si>
  <si>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</si>
  <si>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</si>
  <si>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</si>
  <si>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</si>
  <si>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</si>
  <si>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</si>
  <si>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</si>
  <si>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</si>
  <si>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</si>
  <si>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</si>
  <si>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</si>
  <si>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</si>
  <si>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</si>
  <si>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</si>
  <si>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</si>
  <si>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</si>
  <si>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</si>
  <si>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</si>
  <si>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</si>
  <si>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</si>
  <si>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</si>
  <si>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</si>
  <si>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</si>
  <si>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</si>
  <si>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</si>
  <si>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</si>
  <si>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</si>
  <si>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</si>
  <si>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</si>
  <si>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</si>
  <si>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</si>
  <si>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</si>
  <si>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</si>
  <si>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</si>
  <si>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</si>
  <si>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</si>
  <si>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</si>
  <si>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</si>
  <si>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</si>
  <si>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</si>
  <si>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</si>
  <si>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</si>
  <si>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</si>
  <si>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</si>
  <si>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</si>
  <si>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</si>
  <si>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</si>
  <si>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</si>
  <si>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</si>
  <si>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</si>
  <si>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</si>
  <si>
    <t>position</t>
  </si>
  <si>
    <t>yes</t>
  </si>
  <si>
    <t>Other charges</t>
  </si>
  <si>
    <t>Position Given</t>
  </si>
  <si>
    <t>Gst  Amount</t>
  </si>
  <si>
    <t>Gst bill raised</t>
  </si>
  <si>
    <t>Rameshkumar</t>
  </si>
  <si>
    <t>17.11.2022</t>
  </si>
  <si>
    <t>Raghavendra EVSS</t>
  </si>
  <si>
    <t>Juny Escolas dsouza</t>
  </si>
  <si>
    <t>upto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</si>
</sst>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  <xf numFmtId="0" fontId="5" fillId="0" borderId="4" xfId="0" applyFont="1" applyBorder="1"/>
    <xf numFmtId="0" fontId="20" fillId="0" borderId="4" xfId="5" applyFont="1" applyBorder="1" applyAlignment="1"/>
    <xf numFmtId="0" fontId="20" fillId="0" borderId="4" xfId="5" applyFont="1" applyBorder="1" applyAlignment="1">
      <alignment horizontal="center"/>
    </xf>
    <xf numFmtId="166" fontId="20" fillId="0" borderId="4" xfId="4" applyNumberFormat="1" applyFont="1" applyBorder="1" applyAlignment="1"/>
    <xf numFmtId="0" fontId="20" fillId="0" borderId="0" xfId="5" applyFont="1" applyAlignment="1"/>
    <xf numFmtId="0" fontId="5" fillId="0" borderId="0" xfId="0" applyFont="1"/>
    <xf numFmtId="166" fontId="20" fillId="0" borderId="4" xfId="1" applyNumberFormat="1" applyFont="1" applyBorder="1" applyAlignment="1">
      <alignment horizontal="center" vertical="center" wrapText="1"/>
    </xf>
    <xf numFmtId="0" fontId="20" fillId="0" borderId="4" xfId="5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166" fontId="20" fillId="0" borderId="4" xfId="1" applyNumberFormat="1" applyFont="1" applyFill="1" applyBorder="1" applyAlignment="1">
      <alignment horizontal="center" vertical="center" wrapText="1"/>
    </xf>
    <xf numFmtId="0" fontId="20" fillId="0" borderId="4" xfId="3" applyFont="1" applyBorder="1" applyAlignment="1">
      <alignment wrapText="1"/>
    </xf>
    <xf numFmtId="166" fontId="20" fillId="0" borderId="0" xfId="1" applyNumberFormat="1" applyFont="1" applyFill="1" applyBorder="1" applyAlignment="1">
      <alignment horizontal="center" vertical="center" wrapText="1"/>
    </xf>
    <xf numFmtId="166" fontId="20" fillId="0" borderId="4" xfId="1" applyNumberFormat="1" applyFont="1" applyBorder="1" applyAlignment="1">
      <alignment wrapText="1"/>
    </xf>
    <xf numFmtId="166" fontId="20" fillId="0" borderId="4" xfId="1" applyNumberFormat="1" applyFont="1" applyFill="1" applyBorder="1" applyAlignment="1">
      <alignment wrapText="1"/>
    </xf>
    <xf numFmtId="166" fontId="20" fillId="0" borderId="4" xfId="1" applyNumberFormat="1" applyFont="1" applyBorder="1" applyAlignment="1">
      <alignment horizontal="left" wrapText="1"/>
    </xf>
    <xf numFmtId="166" fontId="20" fillId="0" borderId="4" xfId="0" applyNumberFormat="1" applyFont="1" applyBorder="1" applyAlignment="1">
      <alignment wrapText="1"/>
    </xf>
    <xf numFmtId="166" fontId="5" fillId="0" borderId="4" xfId="0" applyNumberFormat="1" applyFont="1" applyBorder="1"/>
    <xf numFmtId="166" fontId="5" fillId="0" borderId="0" xfId="0" applyNumberFormat="1" applyFont="1"/>
    <xf numFmtId="166" fontId="20" fillId="0" borderId="4" xfId="1" applyNumberFormat="1" applyFont="1" applyBorder="1" applyAlignment="1">
      <alignment horizontal="right" wrapText="1"/>
    </xf>
    <xf numFmtId="0" fontId="5" fillId="0" borderId="4" xfId="5" applyFont="1" applyBorder="1" applyAlignment="1">
      <alignment vertical="center" wrapText="1"/>
    </xf>
    <xf numFmtId="166" fontId="21" fillId="0" borderId="6" xfId="1" applyNumberFormat="1" applyFont="1" applyBorder="1" applyAlignment="1">
      <alignment horizontal="right" wrapText="1" indent="1"/>
    </xf>
    <xf numFmtId="166" fontId="21" fillId="0" borderId="6" xfId="1" applyNumberFormat="1" applyFont="1" applyBorder="1" applyAlignment="1">
      <alignment wrapText="1"/>
    </xf>
    <xf numFmtId="166" fontId="22" fillId="0" borderId="6" xfId="0" applyNumberFormat="1" applyFont="1" applyBorder="1"/>
    <xf numFmtId="0" fontId="5" fillId="0" borderId="7" xfId="0" applyFont="1" applyBorder="1"/>
    <xf numFmtId="166" fontId="5" fillId="3" borderId="4" xfId="1" applyNumberFormat="1" applyFont="1" applyFill="1" applyBorder="1" applyAlignment="1">
      <alignment horizontal="left" vertical="center" wrapText="1"/>
    </xf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9"/>
  <sheetViews>
    <sheetView tabSelected="1" zoomScaleNormal="100" workbookViewId="0">
      <pane ySplit="5" topLeftCell="A6" activePane="bottomLeft" state="frozen"/>
      <selection pane="bottomLeft" activeCell="O10" sqref="O10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4" width="11.28515625" style="54" customWidth="1"/>
    <col min="15" max="15" width="11.7109375" style="54" customWidth="1"/>
    <col min="16" max="16" width="11.28515625" style="54" customWidth="1"/>
    <col min="17" max="17" width="11.7109375" style="54"/>
    <col min="18" max="18" width="11.5703125" style="54" customWidth="1"/>
    <col min="19" max="19" width="10.140625" style="54" customWidth="1"/>
    <col min="20" max="20" width="10.7109375" style="54" customWidth="1"/>
    <col min="21" max="21" width="11.5703125" style="54" customWidth="1"/>
    <col min="22" max="22" width="0.28515625" style="54" customWidth="1"/>
    <col min="23" max="23" width="2.85546875" style="54" hidden="1" customWidth="1"/>
    <col min="24" max="24" width="12" style="54" hidden="1" customWidth="1"/>
    <col min="25" max="25" width="0.140625" style="54" hidden="1" customWidth="1"/>
    <col min="26" max="26" width="0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6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 t="s">
        <v>249</v>
      </c>
      <c r="P2" s="64">
        <f>9*4</f>
        <v>36</v>
      </c>
      <c r="Q2" s="64"/>
    </row>
    <row r="3" spans="1:26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6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3" t="s">
        <v>241</v>
      </c>
      <c r="U5" s="42" t="s">
        <v>112</v>
      </c>
      <c r="V5" s="42" t="s">
        <v>118</v>
      </c>
      <c r="X5" s="42" t="s">
        <v>119</v>
      </c>
      <c r="Y5" s="42" t="s">
        <v>120</v>
      </c>
      <c r="Z5" s="42" t="s">
        <v>239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920400+273760+920400-1286560</f>
        <v>828000</v>
      </c>
      <c r="P6" s="72">
        <f>996000+725310+570690+620048+200000+22239</f>
        <v>3134287</v>
      </c>
      <c r="Q6" s="72">
        <v>0</v>
      </c>
      <c r="R6" s="72">
        <f>780000+232000+780000+548000+780000+200000</f>
        <v>3320000</v>
      </c>
      <c r="S6" s="72">
        <f>R6*18/100</f>
        <v>597600</v>
      </c>
      <c r="T6" s="72">
        <f>22239+12500+390+9558</f>
        <v>44687</v>
      </c>
      <c r="U6" s="53">
        <f>O6+P6-R6-S6-T6</f>
        <v>0</v>
      </c>
      <c r="V6" s="53">
        <f t="shared" ref="V6:V30" si="2">H6+P6</f>
        <v>8942287</v>
      </c>
      <c r="W6" s="53" t="s">
        <v>116</v>
      </c>
      <c r="X6" s="74">
        <v>5808000</v>
      </c>
      <c r="Y6" s="75">
        <f>V6-X6</f>
        <v>3134287</v>
      </c>
      <c r="Z6" s="54" t="s">
        <v>144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7" si="3">F7*60/100</f>
        <v>4980000</v>
      </c>
      <c r="H7" s="72">
        <f>1225000+3587000+996000+996000+597600</f>
        <v>7401600</v>
      </c>
      <c r="I7" s="72">
        <f t="shared" ref="I7:I67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920400+391760+920400+920400-731360</f>
        <v>2421600</v>
      </c>
      <c r="P7" s="72">
        <f>-9558+1200000+127448+50854+18334+172666+9154</f>
        <v>1568898</v>
      </c>
      <c r="Q7" s="72">
        <v>0</v>
      </c>
      <c r="R7" s="72">
        <f>780000+332000+780000+780000+448000+200000</f>
        <v>3320000</v>
      </c>
      <c r="S7" s="72">
        <f t="shared" ref="S7:S68" si="5">R7*18/100</f>
        <v>597600</v>
      </c>
      <c r="T7" s="72">
        <f>12500+390+60008</f>
        <v>72898</v>
      </c>
      <c r="U7" s="53">
        <f>O7+P7-R7-S7-T7</f>
        <v>0</v>
      </c>
      <c r="V7" s="53">
        <f t="shared" si="2"/>
        <v>8970498</v>
      </c>
      <c r="W7" s="53" t="s">
        <v>116</v>
      </c>
      <c r="X7" s="74">
        <v>7401600</v>
      </c>
      <c r="Y7" s="75">
        <f t="shared" ref="Y7:Y67" si="6">V7-X7</f>
        <v>1568898</v>
      </c>
      <c r="Z7" s="54" t="s">
        <v>144</v>
      </c>
    </row>
    <row r="8" spans="1:26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932200+932200-1020400</f>
        <v>844000</v>
      </c>
      <c r="P8" s="72">
        <f>1008000+614748+1308000+234962+5577</f>
        <v>3171287</v>
      </c>
      <c r="Q8" s="72">
        <v>0</v>
      </c>
      <c r="R8" s="72">
        <f>790000+790000+790000+790000+200000</f>
        <v>3360000</v>
      </c>
      <c r="S8" s="72">
        <f t="shared" si="5"/>
        <v>604800</v>
      </c>
      <c r="T8" s="72">
        <f>12500+390+9558+28039</f>
        <v>50487</v>
      </c>
      <c r="U8" s="53">
        <f>O8+P8-R8-S8-T8</f>
        <v>0</v>
      </c>
      <c r="V8" s="53">
        <f t="shared" si="2"/>
        <v>9055287</v>
      </c>
      <c r="W8" s="53" t="s">
        <v>117</v>
      </c>
      <c r="X8" s="74">
        <v>5884000</v>
      </c>
      <c r="Y8" s="75">
        <f t="shared" si="6"/>
        <v>3171287</v>
      </c>
      <c r="Z8" s="54" t="s">
        <v>144</v>
      </c>
    </row>
    <row r="9" spans="1:26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v>2029600</v>
      </c>
      <c r="P9" s="72">
        <f>465000+830000+3000000</f>
        <v>4295000</v>
      </c>
      <c r="Q9" s="72">
        <f t="shared" ref="Q9:Q67" si="7">N9-P9-O9</f>
        <v>-2684600</v>
      </c>
      <c r="R9" s="72">
        <f>1720000+860000</f>
        <v>2580000</v>
      </c>
      <c r="S9" s="72">
        <f t="shared" si="5"/>
        <v>464400</v>
      </c>
      <c r="T9" s="72">
        <v>10148</v>
      </c>
      <c r="U9" s="53">
        <f t="shared" ref="U9:U15" si="8">O9+P9-R9-S9-T9</f>
        <v>3270052</v>
      </c>
      <c r="V9" s="53">
        <f t="shared" si="2"/>
        <v>9755000</v>
      </c>
      <c r="W9" s="53" t="s">
        <v>116</v>
      </c>
      <c r="X9" s="74">
        <v>3825000</v>
      </c>
      <c r="Y9" s="75">
        <f t="shared" si="6"/>
        <v>5930000</v>
      </c>
    </row>
    <row r="10" spans="1:26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908600+908600-1005000</f>
        <v>812200</v>
      </c>
      <c r="P10" s="72">
        <f>295000+688800+1000000+1000000+74400+75068</f>
        <v>3133268</v>
      </c>
      <c r="Q10" s="72">
        <f t="shared" si="7"/>
        <v>-665468</v>
      </c>
      <c r="R10" s="72">
        <f>1540000+770000+770000+200000</f>
        <v>3280000</v>
      </c>
      <c r="S10" s="72">
        <f t="shared" si="5"/>
        <v>590400</v>
      </c>
      <c r="T10" s="72">
        <f>52620+12500+390+9558</f>
        <v>75068</v>
      </c>
      <c r="U10" s="53">
        <f>O10+P10-R10-S10-T10</f>
        <v>0</v>
      </c>
      <c r="V10" s="53">
        <f t="shared" si="2"/>
        <v>9849268</v>
      </c>
      <c r="W10" s="53" t="s">
        <v>116</v>
      </c>
      <c r="X10" s="74">
        <v>5732000</v>
      </c>
      <c r="Y10" s="75">
        <f t="shared" si="6"/>
        <v>4117268</v>
      </c>
    </row>
    <row r="11" spans="1:26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920400+920400-955800</f>
        <v>885000</v>
      </c>
      <c r="P11" s="72">
        <f>600000+450000+450000+175000+260000+400000+370000+100000+97995+100000+100829+595</f>
        <v>3104419</v>
      </c>
      <c r="Q11" s="72">
        <f t="shared" si="7"/>
        <v>-669419</v>
      </c>
      <c r="R11" s="72">
        <f>2340000+780000+200000</f>
        <v>3320000</v>
      </c>
      <c r="S11" s="72">
        <f t="shared" si="5"/>
        <v>597600</v>
      </c>
      <c r="T11" s="72">
        <f>9558+590+12500+390+48781</f>
        <v>71819</v>
      </c>
      <c r="U11" s="53">
        <f t="shared" si="8"/>
        <v>0</v>
      </c>
      <c r="V11" s="53">
        <f t="shared" si="2"/>
        <v>8969419</v>
      </c>
      <c r="W11" s="53" t="s">
        <v>116</v>
      </c>
      <c r="X11" s="74">
        <v>5865000</v>
      </c>
      <c r="Y11" s="75">
        <f t="shared" si="6"/>
        <v>3104419</v>
      </c>
      <c r="Z11" s="54" t="s">
        <v>144</v>
      </c>
    </row>
    <row r="12" spans="1:26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72">
        <f>2832000+147749</f>
        <v>2979749</v>
      </c>
      <c r="P12" s="72">
        <f>367217+150000+563686</f>
        <v>1080903</v>
      </c>
      <c r="Q12" s="72">
        <f t="shared" si="7"/>
        <v>-660652</v>
      </c>
      <c r="R12" s="72">
        <f>800000+800000+800000+800000+200000</f>
        <v>3400000</v>
      </c>
      <c r="S12" s="72">
        <f t="shared" si="5"/>
        <v>612000</v>
      </c>
      <c r="T12" s="72">
        <f>9558+12500+390+26204</f>
        <v>48652</v>
      </c>
      <c r="U12" s="53">
        <f t="shared" si="8"/>
        <v>0</v>
      </c>
      <c r="V12" s="53">
        <f t="shared" si="2"/>
        <v>7837152</v>
      </c>
      <c r="W12" s="53" t="s">
        <v>116</v>
      </c>
      <c r="X12" s="74">
        <v>7281249</v>
      </c>
      <c r="Y12" s="75">
        <f t="shared" si="6"/>
        <v>555903</v>
      </c>
    </row>
    <row r="13" spans="1:26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72">
        <v>3152960</v>
      </c>
      <c r="P13" s="72"/>
      <c r="Q13" s="72">
        <f t="shared" si="7"/>
        <v>167040</v>
      </c>
      <c r="R13" s="72">
        <f>780000+332000+780000+780000</f>
        <v>2672000</v>
      </c>
      <c r="S13" s="72">
        <f t="shared" si="5"/>
        <v>480960</v>
      </c>
      <c r="T13" s="72"/>
      <c r="U13" s="53">
        <f t="shared" si="8"/>
        <v>0</v>
      </c>
      <c r="V13" s="53">
        <f t="shared" si="2"/>
        <v>4812000</v>
      </c>
      <c r="W13" s="53" t="s">
        <v>116</v>
      </c>
      <c r="X13" s="74">
        <v>7401600</v>
      </c>
      <c r="Y13" s="75">
        <f t="shared" si="6"/>
        <v>-2589600</v>
      </c>
    </row>
    <row r="14" spans="1:26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f>996000+1363104+300000</f>
        <v>2659104</v>
      </c>
      <c r="Q14" s="72">
        <f t="shared" si="7"/>
        <v>-1179904</v>
      </c>
      <c r="R14" s="72">
        <f>780000+780000+780000</f>
        <v>2340000</v>
      </c>
      <c r="S14" s="72">
        <f t="shared" si="5"/>
        <v>421200</v>
      </c>
      <c r="T14" s="72"/>
      <c r="U14" s="53">
        <f t="shared" ref="U14" si="9">O14+P14-R14-S14</f>
        <v>1738704</v>
      </c>
      <c r="V14" s="53">
        <f t="shared" si="2"/>
        <v>7546704</v>
      </c>
      <c r="W14" s="53" t="s">
        <v>116</v>
      </c>
      <c r="X14" s="74">
        <v>5808000</v>
      </c>
      <c r="Y14" s="75">
        <f t="shared" si="6"/>
        <v>1738704</v>
      </c>
    </row>
    <row r="15" spans="1:26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f>996000+996000+1000000+367000+699099</f>
        <v>4058099</v>
      </c>
      <c r="Q15" s="72">
        <f t="shared" si="7"/>
        <v>-1658499</v>
      </c>
      <c r="R15" s="72">
        <f>780000+1560000</f>
        <v>2340000</v>
      </c>
      <c r="S15" s="72">
        <f t="shared" si="5"/>
        <v>421200</v>
      </c>
      <c r="T15" s="72">
        <v>9558</v>
      </c>
      <c r="U15" s="53">
        <f t="shared" si="8"/>
        <v>2207741</v>
      </c>
      <c r="V15" s="53">
        <f t="shared" si="2"/>
        <v>8920099</v>
      </c>
      <c r="W15" s="53" t="s">
        <v>116</v>
      </c>
      <c r="X15" s="74">
        <v>4862000</v>
      </c>
      <c r="Y15" s="75">
        <f t="shared" si="6"/>
        <v>4058099</v>
      </c>
    </row>
    <row r="16" spans="1:26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908600+908600-1005200</f>
        <v>812000</v>
      </c>
      <c r="P16" s="72">
        <f>984000+1484000+290000+298520+89995</f>
        <v>3146515</v>
      </c>
      <c r="Q16" s="72">
        <f t="shared" si="7"/>
        <v>-678515</v>
      </c>
      <c r="R16" s="72">
        <f>770000+770000+770000+770000+200000</f>
        <v>3280000</v>
      </c>
      <c r="S16" s="72">
        <f t="shared" si="5"/>
        <v>590400</v>
      </c>
      <c r="T16" s="72">
        <f>65667+12500+9558+390</f>
        <v>88115</v>
      </c>
      <c r="U16" s="53">
        <f t="shared" ref="U16:U21" si="10">O16+P16-R16-S16-T16</f>
        <v>0</v>
      </c>
      <c r="V16" s="53">
        <f t="shared" si="2"/>
        <v>8878515</v>
      </c>
      <c r="W16" s="53" t="s">
        <v>116</v>
      </c>
      <c r="X16" s="74">
        <v>5732000</v>
      </c>
      <c r="Y16" s="75">
        <f t="shared" si="6"/>
        <v>3146515</v>
      </c>
    </row>
    <row r="17" spans="1:25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944000+944000+944000-1736562</f>
        <v>1095438</v>
      </c>
      <c r="P17" s="72">
        <f>1020000+400000+1320000+183794+83055</f>
        <v>3006849</v>
      </c>
      <c r="Q17" s="72">
        <f t="shared" si="7"/>
        <v>-702287</v>
      </c>
      <c r="R17" s="72">
        <f>1600000+800000+800000+200000</f>
        <v>3400000</v>
      </c>
      <c r="S17" s="72">
        <f t="shared" si="5"/>
        <v>612000</v>
      </c>
      <c r="T17" s="72">
        <f>9558+12500+390+67839</f>
        <v>90287</v>
      </c>
      <c r="U17" s="53">
        <f>O17+P17-R17-S17-T17</f>
        <v>0</v>
      </c>
      <c r="V17" s="53">
        <f t="shared" si="2"/>
        <v>9241849</v>
      </c>
      <c r="W17" s="53" t="s">
        <v>116</v>
      </c>
      <c r="X17" s="74">
        <v>6235000</v>
      </c>
      <c r="Y17" s="75">
        <f t="shared" si="6"/>
        <v>3006849</v>
      </c>
    </row>
    <row r="18" spans="1:25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908600+908600+17800</f>
        <v>1835000</v>
      </c>
      <c r="P18" s="72">
        <f>1400000+650000+84955</f>
        <v>2134955</v>
      </c>
      <c r="Q18" s="72">
        <f t="shared" si="7"/>
        <v>-689955</v>
      </c>
      <c r="R18" s="72">
        <f>770000+770000+770000+770000+200000</f>
        <v>3280000</v>
      </c>
      <c r="S18" s="72">
        <f t="shared" si="5"/>
        <v>590400</v>
      </c>
      <c r="T18" s="72">
        <f>77107+9558+12500+390</f>
        <v>99555</v>
      </c>
      <c r="U18" s="53">
        <f t="shared" si="10"/>
        <v>0</v>
      </c>
      <c r="V18" s="53">
        <f t="shared" si="2"/>
        <v>8889955</v>
      </c>
      <c r="W18" s="53" t="s">
        <v>116</v>
      </c>
      <c r="X18" s="74">
        <v>6755000</v>
      </c>
      <c r="Y18" s="75">
        <f t="shared" si="6"/>
        <v>2134955</v>
      </c>
    </row>
    <row r="19" spans="1:25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1098580+1098580+1098580+22953+25000</f>
        <v>3343693</v>
      </c>
      <c r="P19" s="72">
        <f>706320+628260</f>
        <v>1334580</v>
      </c>
      <c r="Q19" s="72">
        <f t="shared" si="7"/>
        <v>-754273</v>
      </c>
      <c r="R19" s="72">
        <f>3724000+200000+21614</f>
        <v>3945614</v>
      </c>
      <c r="S19" s="72">
        <f t="shared" si="5"/>
        <v>710210.52</v>
      </c>
      <c r="T19" s="72">
        <f>12500+390+9558</f>
        <v>22448</v>
      </c>
      <c r="U19" s="53">
        <f t="shared" si="10"/>
        <v>0.47999999998137355</v>
      </c>
      <c r="V19" s="53">
        <f t="shared" si="2"/>
        <v>11144580</v>
      </c>
      <c r="W19" s="53" t="s">
        <v>116</v>
      </c>
      <c r="X19" s="74">
        <v>9810000</v>
      </c>
      <c r="Y19" s="75">
        <f t="shared" si="6"/>
        <v>1334580</v>
      </c>
    </row>
    <row r="20" spans="1:25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1135160+1135160+1135160+647520</f>
        <v>4053000</v>
      </c>
      <c r="P20" s="72">
        <f>746088+60857</f>
        <v>806945</v>
      </c>
      <c r="Q20" s="72">
        <f t="shared" si="7"/>
        <v>-811945</v>
      </c>
      <c r="R20" s="72">
        <f>3848000+200000+51574</f>
        <v>4099574</v>
      </c>
      <c r="S20" s="72">
        <f t="shared" si="5"/>
        <v>737923.32</v>
      </c>
      <c r="T20" s="72">
        <f>12500+390+9558</f>
        <v>22448</v>
      </c>
      <c r="U20" s="53">
        <f t="shared" si="10"/>
        <v>-0.31999999994877726</v>
      </c>
      <c r="V20" s="53">
        <f t="shared" si="2"/>
        <v>10931945</v>
      </c>
      <c r="W20" s="53" t="s">
        <v>116</v>
      </c>
      <c r="X20" s="74">
        <v>10125000</v>
      </c>
      <c r="Y20" s="75">
        <f t="shared" si="6"/>
        <v>806945</v>
      </c>
    </row>
    <row r="21" spans="1:25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920400+844800-339599</f>
        <v>1425601</v>
      </c>
      <c r="P21" s="72">
        <f>996000+1027472+100+299900+178475+70130</f>
        <v>2572077</v>
      </c>
      <c r="Q21" s="72">
        <f t="shared" si="7"/>
        <v>-677678</v>
      </c>
      <c r="R21" s="72">
        <f>2340000+780000+200000</f>
        <v>3320000</v>
      </c>
      <c r="S21" s="72">
        <f t="shared" si="5"/>
        <v>597600</v>
      </c>
      <c r="T21" s="72">
        <f>12500+9558+390+57630</f>
        <v>80078</v>
      </c>
      <c r="U21" s="53">
        <f t="shared" si="10"/>
        <v>0</v>
      </c>
      <c r="V21" s="53">
        <f t="shared" si="2"/>
        <v>8977677</v>
      </c>
      <c r="W21" s="53" t="s">
        <v>117</v>
      </c>
      <c r="X21" s="74">
        <v>7401600</v>
      </c>
      <c r="Y21" s="75">
        <f t="shared" si="6"/>
        <v>1576077</v>
      </c>
    </row>
    <row r="22" spans="1:25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f>996000+2000000+184482-1015160</f>
        <v>2165322</v>
      </c>
      <c r="Q22" s="72">
        <f t="shared" si="7"/>
        <v>-686122</v>
      </c>
      <c r="R22" s="72">
        <f>780000+780000+780000+780000+200000</f>
        <v>3320000</v>
      </c>
      <c r="S22" s="72">
        <f t="shared" si="5"/>
        <v>597600</v>
      </c>
      <c r="T22" s="72">
        <f>2360+9558+66074+12500+390</f>
        <v>90882</v>
      </c>
      <c r="U22" s="53">
        <f>O22+P22-R22-S22-T22</f>
        <v>-2360</v>
      </c>
      <c r="V22" s="53">
        <f t="shared" si="2"/>
        <v>7973322</v>
      </c>
      <c r="W22" s="53" t="s">
        <v>116</v>
      </c>
      <c r="X22" s="74">
        <v>5808000</v>
      </c>
      <c r="Y22" s="75">
        <f t="shared" si="6"/>
        <v>2165322</v>
      </c>
    </row>
    <row r="23" spans="1:25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f>1092000+500000+300000+655200+292000</f>
        <v>2839200</v>
      </c>
      <c r="Q23" s="72">
        <f t="shared" si="7"/>
        <v>-1228800</v>
      </c>
      <c r="R23" s="72">
        <f>860000+860000+860000</f>
        <v>2580000</v>
      </c>
      <c r="S23" s="72">
        <f t="shared" si="5"/>
        <v>464400</v>
      </c>
      <c r="T23" s="72"/>
      <c r="U23" s="53">
        <f t="shared" ref="U23:U67" si="11">O23+P23-R23-S23-T23</f>
        <v>1824400</v>
      </c>
      <c r="V23" s="53">
        <f t="shared" si="2"/>
        <v>9255200</v>
      </c>
      <c r="W23" s="53" t="s">
        <v>116</v>
      </c>
      <c r="X23" s="74">
        <v>6416000</v>
      </c>
      <c r="Y23" s="75">
        <f t="shared" si="6"/>
        <v>2839200</v>
      </c>
    </row>
    <row r="24" spans="1:25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>
        <f>1080000+1000000+380000</f>
        <v>2460000</v>
      </c>
      <c r="Q24" s="72">
        <f t="shared" si="7"/>
        <v>-866000</v>
      </c>
      <c r="R24" s="72">
        <f>1700000+850000</f>
        <v>2550000</v>
      </c>
      <c r="S24" s="72">
        <f t="shared" si="5"/>
        <v>459000</v>
      </c>
      <c r="T24" s="72"/>
      <c r="U24" s="53">
        <f t="shared" si="11"/>
        <v>1457000</v>
      </c>
      <c r="V24" s="53">
        <f t="shared" si="2"/>
        <v>8800000</v>
      </c>
      <c r="W24" s="53" t="s">
        <v>116</v>
      </c>
      <c r="X24" s="74">
        <v>6340000</v>
      </c>
      <c r="Y24" s="75">
        <f t="shared" si="6"/>
        <v>2460000</v>
      </c>
    </row>
    <row r="25" spans="1:25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>
        <f>1092000</f>
        <v>1092000</v>
      </c>
      <c r="Q25" s="72">
        <f t="shared" si="7"/>
        <v>1533200</v>
      </c>
      <c r="R25" s="72">
        <f>860000+860000+860000</f>
        <v>2580000</v>
      </c>
      <c r="S25" s="72">
        <f t="shared" si="5"/>
        <v>464400</v>
      </c>
      <c r="T25" s="72"/>
      <c r="U25" s="53">
        <f t="shared" si="11"/>
        <v>-937600</v>
      </c>
      <c r="V25" s="53">
        <f t="shared" si="2"/>
        <v>7508000</v>
      </c>
      <c r="W25" s="53" t="s">
        <v>116</v>
      </c>
      <c r="X25" s="74">
        <v>6416000</v>
      </c>
      <c r="Y25" s="75">
        <f t="shared" si="6"/>
        <v>1092000</v>
      </c>
    </row>
    <row r="26" spans="1:25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f>1098000+1098000</f>
        <v>2196000</v>
      </c>
      <c r="Q26" s="72">
        <f t="shared" si="7"/>
        <v>443300</v>
      </c>
      <c r="R26" s="72">
        <v>1730000</v>
      </c>
      <c r="S26" s="72">
        <f t="shared" si="5"/>
        <v>311400</v>
      </c>
      <c r="T26" s="72"/>
      <c r="U26" s="53">
        <f t="shared" si="11"/>
        <v>1175300</v>
      </c>
      <c r="V26" s="53">
        <f t="shared" si="2"/>
        <v>7552000</v>
      </c>
      <c r="W26" s="53" t="s">
        <v>116</v>
      </c>
      <c r="X26" s="74">
        <v>5356000</v>
      </c>
      <c r="Y26" s="75">
        <f t="shared" si="6"/>
        <v>2196000</v>
      </c>
    </row>
    <row r="27" spans="1:25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1014800+1014800-1098600</f>
        <v>931000</v>
      </c>
      <c r="P27" s="72">
        <f>1092000+10000+900000+1033000+251983+25000+43745</f>
        <v>3355728</v>
      </c>
      <c r="Q27" s="72">
        <f t="shared" si="7"/>
        <v>-646728</v>
      </c>
      <c r="R27" s="72">
        <f>1720000+860000+860000+200000</f>
        <v>3640000</v>
      </c>
      <c r="S27" s="72">
        <f t="shared" si="5"/>
        <v>655200</v>
      </c>
      <c r="T27" s="72">
        <f>9558+12500+390-30920</f>
        <v>-8472</v>
      </c>
      <c r="U27" s="53">
        <f t="shared" si="11"/>
        <v>0</v>
      </c>
      <c r="V27" s="53">
        <f t="shared" si="2"/>
        <v>9746728</v>
      </c>
      <c r="W27" s="53" t="s">
        <v>116</v>
      </c>
      <c r="X27" s="74">
        <v>6416000</v>
      </c>
      <c r="Y27" s="75">
        <f t="shared" si="6"/>
        <v>3330728</v>
      </c>
    </row>
    <row r="28" spans="1:25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7"/>
        <v>1603558</v>
      </c>
      <c r="R28" s="72">
        <v>1700000</v>
      </c>
      <c r="S28" s="72">
        <f t="shared" si="5"/>
        <v>306000</v>
      </c>
      <c r="T28" s="72"/>
      <c r="U28" s="53">
        <f t="shared" si="11"/>
        <v>-9558</v>
      </c>
      <c r="V28" s="53">
        <f t="shared" si="2"/>
        <v>7990442</v>
      </c>
      <c r="W28" s="53" t="s">
        <v>116</v>
      </c>
      <c r="X28" s="74">
        <v>8000000</v>
      </c>
      <c r="Y28" s="75">
        <f t="shared" si="6"/>
        <v>-9558</v>
      </c>
    </row>
    <row r="29" spans="1:25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7"/>
        <v>2616740</v>
      </c>
      <c r="R29" s="72">
        <f>1714000+857000</f>
        <v>2571000</v>
      </c>
      <c r="S29" s="72">
        <f t="shared" si="5"/>
        <v>462780</v>
      </c>
      <c r="T29" s="72"/>
      <c r="U29" s="53">
        <f t="shared" si="11"/>
        <v>-2022520</v>
      </c>
      <c r="V29" s="53">
        <f t="shared" si="2"/>
        <v>3425001</v>
      </c>
      <c r="W29" s="53" t="s">
        <v>117</v>
      </c>
      <c r="X29" s="74">
        <v>1925000</v>
      </c>
      <c r="Y29" s="75">
        <f t="shared" si="6"/>
        <v>1500001</v>
      </c>
    </row>
    <row r="30" spans="1:25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f>1072000+512000+600000</f>
        <v>2184000</v>
      </c>
      <c r="Q30" s="72">
        <f t="shared" si="7"/>
        <v>441200</v>
      </c>
      <c r="R30" s="72">
        <f>1720000+860000</f>
        <v>2580000</v>
      </c>
      <c r="S30" s="72">
        <f t="shared" si="5"/>
        <v>464400</v>
      </c>
      <c r="T30" s="72"/>
      <c r="U30" s="53">
        <f t="shared" si="11"/>
        <v>154400</v>
      </c>
      <c r="V30" s="53">
        <f t="shared" si="2"/>
        <v>7508000</v>
      </c>
      <c r="W30" s="53" t="s">
        <v>116</v>
      </c>
      <c r="X30" s="74">
        <v>5324000</v>
      </c>
      <c r="Y30" s="75">
        <f t="shared" si="6"/>
        <v>2184000</v>
      </c>
    </row>
    <row r="31" spans="1:25" ht="12.95" customHeight="1" x14ac:dyDescent="0.2">
      <c r="A31" s="70">
        <f t="shared" ref="A31:A67" si="12">A30+1</f>
        <v>26</v>
      </c>
      <c r="B31" s="71">
        <v>146</v>
      </c>
      <c r="C31" s="64">
        <v>2040</v>
      </c>
      <c r="D31" s="72" t="s">
        <v>109</v>
      </c>
      <c r="E31" s="133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>
        <f>585000+900000+136000+200000</f>
        <v>1821000</v>
      </c>
      <c r="Q31" s="72">
        <f t="shared" si="7"/>
        <v>3129000</v>
      </c>
      <c r="R31" s="72"/>
      <c r="S31" s="72">
        <f t="shared" si="5"/>
        <v>0</v>
      </c>
      <c r="T31" s="72"/>
      <c r="U31" s="53">
        <f t="shared" si="11"/>
        <v>1821000</v>
      </c>
      <c r="V31" s="53"/>
      <c r="W31" s="53"/>
      <c r="X31" s="74"/>
      <c r="Y31" s="75"/>
    </row>
    <row r="32" spans="1:25" ht="12.95" customHeight="1" x14ac:dyDescent="0.2">
      <c r="A32" s="70">
        <f t="shared" si="12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>
        <f>1071000</f>
        <v>1071000</v>
      </c>
      <c r="Q32" s="72">
        <f t="shared" si="7"/>
        <v>1506250</v>
      </c>
      <c r="R32" s="72">
        <f>843000+843000</f>
        <v>1686000</v>
      </c>
      <c r="S32" s="72">
        <f t="shared" si="5"/>
        <v>303480</v>
      </c>
      <c r="T32" s="72"/>
      <c r="U32" s="53">
        <f t="shared" si="11"/>
        <v>76270</v>
      </c>
      <c r="V32" s="53">
        <f t="shared" ref="V32:V67" si="13">H32+P32</f>
        <v>6296000</v>
      </c>
      <c r="W32" s="53" t="s">
        <v>116</v>
      </c>
      <c r="X32" s="74">
        <v>5225000</v>
      </c>
      <c r="Y32" s="75">
        <f t="shared" si="6"/>
        <v>1071000</v>
      </c>
    </row>
    <row r="33" spans="1:25" ht="12.95" customHeight="1" x14ac:dyDescent="0.2">
      <c r="A33" s="70">
        <f t="shared" si="12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>
        <f>1032000+1516700</f>
        <v>2548700</v>
      </c>
      <c r="Q33" s="72">
        <f t="shared" si="7"/>
        <v>-64500</v>
      </c>
      <c r="R33" s="72">
        <f>810000+810000+810000</f>
        <v>2430000</v>
      </c>
      <c r="S33" s="72">
        <f t="shared" si="5"/>
        <v>437400</v>
      </c>
      <c r="T33" s="72">
        <v>9558</v>
      </c>
      <c r="U33" s="53">
        <f t="shared" si="11"/>
        <v>627542</v>
      </c>
      <c r="V33" s="53">
        <f t="shared" si="13"/>
        <v>7552709</v>
      </c>
      <c r="W33" s="53" t="s">
        <v>117</v>
      </c>
      <c r="X33" s="74">
        <v>5004000</v>
      </c>
      <c r="Y33" s="75">
        <f t="shared" si="6"/>
        <v>2548709</v>
      </c>
    </row>
    <row r="34" spans="1:25" ht="12.95" customHeight="1" x14ac:dyDescent="0.2">
      <c r="A34" s="70">
        <f t="shared" si="12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>
        <f>1032000+1032000</f>
        <v>2064000</v>
      </c>
      <c r="Q34" s="72">
        <f t="shared" si="7"/>
        <v>1376000</v>
      </c>
      <c r="R34" s="72">
        <f>810000+810000+810000</f>
        <v>2430000</v>
      </c>
      <c r="S34" s="72">
        <f t="shared" si="5"/>
        <v>437400</v>
      </c>
      <c r="T34" s="72"/>
      <c r="U34" s="53">
        <f t="shared" si="11"/>
        <v>-803400</v>
      </c>
      <c r="V34" s="53">
        <f t="shared" si="13"/>
        <v>7068001</v>
      </c>
      <c r="W34" s="53" t="s">
        <v>116</v>
      </c>
      <c r="X34" s="74">
        <v>1225000</v>
      </c>
      <c r="Y34" s="75">
        <f t="shared" si="6"/>
        <v>5843001</v>
      </c>
    </row>
    <row r="35" spans="1:25" ht="12.95" customHeight="1" x14ac:dyDescent="0.2">
      <c r="A35" s="70">
        <f t="shared" si="12"/>
        <v>30</v>
      </c>
      <c r="B35" s="71">
        <v>151</v>
      </c>
      <c r="C35" s="64">
        <v>2040</v>
      </c>
      <c r="D35" s="72" t="s">
        <v>109</v>
      </c>
      <c r="E35" s="71" t="s">
        <v>247</v>
      </c>
      <c r="F35" s="73">
        <v>11400000</v>
      </c>
      <c r="G35" s="72">
        <f t="shared" si="3"/>
        <v>6840000</v>
      </c>
      <c r="H35" s="72">
        <f>1225007</f>
        <v>1225007</v>
      </c>
      <c r="I35" s="72">
        <f t="shared" si="4"/>
        <v>5614993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4560000</v>
      </c>
      <c r="O35" s="72"/>
      <c r="P35" s="72">
        <v>0</v>
      </c>
      <c r="Q35" s="72">
        <f t="shared" si="7"/>
        <v>4560000</v>
      </c>
      <c r="R35" s="72">
        <v>1090000</v>
      </c>
      <c r="S35" s="72">
        <f t="shared" si="5"/>
        <v>196200</v>
      </c>
      <c r="T35" s="72"/>
      <c r="U35" s="53">
        <f t="shared" si="11"/>
        <v>-1286200</v>
      </c>
      <c r="V35" s="53">
        <f t="shared" si="13"/>
        <v>1225007</v>
      </c>
      <c r="W35" s="53" t="s">
        <v>116</v>
      </c>
      <c r="X35" s="74">
        <v>1225007</v>
      </c>
      <c r="Y35" s="75">
        <f t="shared" si="6"/>
        <v>0</v>
      </c>
    </row>
    <row r="36" spans="1:25" ht="12.95" customHeight="1" x14ac:dyDescent="0.2">
      <c r="A36" s="70">
        <f t="shared" si="12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>
        <f>1126000+1130000</f>
        <v>2256000</v>
      </c>
      <c r="Q36" s="72">
        <f t="shared" si="7"/>
        <v>448442</v>
      </c>
      <c r="R36" s="72">
        <f>888100+888100</f>
        <v>1776200</v>
      </c>
      <c r="S36" s="72">
        <f t="shared" si="5"/>
        <v>319716</v>
      </c>
      <c r="T36" s="72"/>
      <c r="U36" s="53">
        <f t="shared" si="11"/>
        <v>1208042</v>
      </c>
      <c r="V36" s="53">
        <f t="shared" si="13"/>
        <v>7766000</v>
      </c>
      <c r="W36" s="53" t="s">
        <v>116</v>
      </c>
      <c r="X36" s="74">
        <v>5510000</v>
      </c>
      <c r="Y36" s="75">
        <f t="shared" si="6"/>
        <v>2256000</v>
      </c>
    </row>
    <row r="37" spans="1:25" ht="12.95" customHeight="1" x14ac:dyDescent="0.2">
      <c r="A37" s="70">
        <f t="shared" si="12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>
        <f>1092050.8+1092000</f>
        <v>2184050.7999999998</v>
      </c>
      <c r="Q37" s="72">
        <f t="shared" si="7"/>
        <v>441149.20000000019</v>
      </c>
      <c r="R37" s="72">
        <f>860000+860000</f>
        <v>1720000</v>
      </c>
      <c r="S37" s="72">
        <f t="shared" si="5"/>
        <v>309600</v>
      </c>
      <c r="T37" s="72"/>
      <c r="U37" s="53">
        <f t="shared" si="11"/>
        <v>1169250.7999999998</v>
      </c>
      <c r="V37" s="53">
        <f t="shared" si="13"/>
        <v>7584050.7999999998</v>
      </c>
      <c r="W37" s="53" t="s">
        <v>117</v>
      </c>
      <c r="X37" s="74">
        <v>5400000</v>
      </c>
      <c r="Y37" s="75">
        <f t="shared" si="6"/>
        <v>2184050.7999999998</v>
      </c>
    </row>
    <row r="38" spans="1:25" ht="12.95" customHeight="1" x14ac:dyDescent="0.2">
      <c r="A38" s="70">
        <f t="shared" si="12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7" si="14">H38-J38-L38-K38</f>
        <v>1769205.7000000002</v>
      </c>
      <c r="N38" s="72">
        <f t="shared" ref="N38:N67" si="15">F38*40/100</f>
        <v>3640000</v>
      </c>
      <c r="O38" s="72">
        <f>1014800</f>
        <v>1014800</v>
      </c>
      <c r="P38" s="72">
        <f>1092058+2000000</f>
        <v>3092058</v>
      </c>
      <c r="Q38" s="72">
        <f t="shared" si="7"/>
        <v>-466858</v>
      </c>
      <c r="R38" s="72">
        <f>860000+860000</f>
        <v>1720000</v>
      </c>
      <c r="S38" s="72">
        <f t="shared" si="5"/>
        <v>309600</v>
      </c>
      <c r="T38" s="72"/>
      <c r="U38" s="53">
        <f t="shared" si="11"/>
        <v>2077258</v>
      </c>
      <c r="V38" s="53">
        <f t="shared" si="13"/>
        <v>8416063.6999999993</v>
      </c>
      <c r="W38" s="53" t="s">
        <v>116</v>
      </c>
      <c r="X38" s="74">
        <v>2625000</v>
      </c>
      <c r="Y38" s="75">
        <f t="shared" si="6"/>
        <v>5791063.6999999993</v>
      </c>
    </row>
    <row r="39" spans="1:25" ht="12.95" customHeight="1" x14ac:dyDescent="0.2">
      <c r="A39" s="70">
        <f t="shared" si="12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4"/>
        <v>3939000</v>
      </c>
      <c r="N39" s="72">
        <f t="shared" si="15"/>
        <v>3540000</v>
      </c>
      <c r="O39" s="72"/>
      <c r="P39" s="72">
        <f>1062000+1062000+789148+1390446</f>
        <v>4303594</v>
      </c>
      <c r="Q39" s="72">
        <f t="shared" si="7"/>
        <v>-763594</v>
      </c>
      <c r="R39" s="72">
        <f>835000+835000</f>
        <v>1670000</v>
      </c>
      <c r="S39" s="72">
        <f t="shared" si="5"/>
        <v>300600</v>
      </c>
      <c r="T39" s="72">
        <v>9558</v>
      </c>
      <c r="U39" s="53">
        <f t="shared" si="11"/>
        <v>2323436</v>
      </c>
      <c r="V39" s="53">
        <f t="shared" si="13"/>
        <v>9467594</v>
      </c>
      <c r="W39" s="53" t="s">
        <v>116</v>
      </c>
      <c r="X39" s="74">
        <v>5164000</v>
      </c>
      <c r="Y39" s="75">
        <f t="shared" si="6"/>
        <v>4303594</v>
      </c>
    </row>
    <row r="40" spans="1:25" ht="12.95" customHeight="1" x14ac:dyDescent="0.2">
      <c r="A40" s="70">
        <f t="shared" si="12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4"/>
        <v>1118200</v>
      </c>
      <c r="N40" s="72">
        <f t="shared" si="15"/>
        <v>2940000</v>
      </c>
      <c r="O40" s="72">
        <v>808300</v>
      </c>
      <c r="P40" s="72">
        <f>882000+882000+1915000</f>
        <v>3679000</v>
      </c>
      <c r="Q40" s="72">
        <f t="shared" si="7"/>
        <v>-1547300</v>
      </c>
      <c r="R40" s="74">
        <f>685000+685000</f>
        <v>1370000</v>
      </c>
      <c r="S40" s="72">
        <f>R40*18/100</f>
        <v>246600</v>
      </c>
      <c r="T40" s="72"/>
      <c r="U40" s="53">
        <f t="shared" si="11"/>
        <v>2870700</v>
      </c>
      <c r="V40" s="53">
        <f t="shared" si="13"/>
        <v>7883000</v>
      </c>
      <c r="W40" s="53" t="s">
        <v>116</v>
      </c>
      <c r="X40" s="74">
        <v>4204000</v>
      </c>
      <c r="Y40" s="75">
        <f t="shared" si="6"/>
        <v>3679000</v>
      </c>
    </row>
    <row r="41" spans="1:25" ht="12.95" customHeight="1" x14ac:dyDescent="0.2">
      <c r="A41" s="70">
        <f t="shared" si="12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4"/>
        <v>1676200</v>
      </c>
      <c r="N41" s="72">
        <f t="shared" si="15"/>
        <v>3540000</v>
      </c>
      <c r="O41" s="72">
        <v>985300</v>
      </c>
      <c r="P41" s="72">
        <f>2000+560000+2021648</f>
        <v>2583648</v>
      </c>
      <c r="Q41" s="72">
        <f t="shared" si="7"/>
        <v>-28948</v>
      </c>
      <c r="R41" s="72">
        <f>835000+835000+835000</f>
        <v>2505000</v>
      </c>
      <c r="S41" s="72">
        <f t="shared" ref="S41:S67" si="16">R41*18/100</f>
        <v>450900</v>
      </c>
      <c r="T41" s="72"/>
      <c r="U41" s="53">
        <f t="shared" si="11"/>
        <v>613048</v>
      </c>
      <c r="V41" s="53">
        <f t="shared" si="13"/>
        <v>7747648</v>
      </c>
      <c r="W41" s="53" t="s">
        <v>116</v>
      </c>
      <c r="X41" s="74">
        <v>5164000</v>
      </c>
      <c r="Y41" s="75">
        <f t="shared" si="6"/>
        <v>2583648</v>
      </c>
    </row>
    <row r="42" spans="1:25" ht="12.95" customHeight="1" x14ac:dyDescent="0.2">
      <c r="A42" s="70">
        <f t="shared" si="12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4"/>
        <v>-1292400</v>
      </c>
      <c r="N42" s="72">
        <f t="shared" si="15"/>
        <v>3920000</v>
      </c>
      <c r="O42" s="72">
        <v>1097400</v>
      </c>
      <c r="P42" s="72">
        <f>1176000+1176000</f>
        <v>2352000</v>
      </c>
      <c r="Q42" s="72">
        <f t="shared" si="7"/>
        <v>470600</v>
      </c>
      <c r="R42" s="72">
        <f>930000+930000+930000</f>
        <v>2790000</v>
      </c>
      <c r="S42" s="72">
        <f t="shared" si="16"/>
        <v>502200</v>
      </c>
      <c r="T42" s="72">
        <v>1180</v>
      </c>
      <c r="U42" s="53">
        <f t="shared" si="11"/>
        <v>156020</v>
      </c>
      <c r="V42" s="53">
        <f t="shared" si="13"/>
        <v>3577000</v>
      </c>
      <c r="W42" s="53" t="s">
        <v>116</v>
      </c>
      <c r="X42" s="74">
        <v>1225000</v>
      </c>
      <c r="Y42" s="75">
        <f t="shared" si="6"/>
        <v>2352000</v>
      </c>
    </row>
    <row r="43" spans="1:25" ht="12.95" customHeight="1" x14ac:dyDescent="0.2">
      <c r="A43" s="70">
        <f t="shared" si="12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4"/>
        <v>-1095800</v>
      </c>
      <c r="N43" s="72">
        <f t="shared" si="15"/>
        <v>3440000</v>
      </c>
      <c r="O43" s="72">
        <v>955800</v>
      </c>
      <c r="P43" s="72">
        <f>1032000+1032000</f>
        <v>2064000</v>
      </c>
      <c r="Q43" s="72">
        <f t="shared" si="7"/>
        <v>420200</v>
      </c>
      <c r="R43" s="72">
        <f>810000+810000+810000</f>
        <v>2430000</v>
      </c>
      <c r="S43" s="72">
        <f t="shared" si="16"/>
        <v>437400</v>
      </c>
      <c r="T43" s="72">
        <v>1416</v>
      </c>
      <c r="U43" s="53">
        <f t="shared" si="11"/>
        <v>150984</v>
      </c>
      <c r="V43" s="53">
        <f t="shared" si="13"/>
        <v>3289002</v>
      </c>
      <c r="W43" s="53" t="s">
        <v>116</v>
      </c>
      <c r="X43" s="74">
        <v>1225000</v>
      </c>
      <c r="Y43" s="75">
        <f t="shared" si="6"/>
        <v>2064002</v>
      </c>
    </row>
    <row r="44" spans="1:25" ht="12.95" customHeight="1" x14ac:dyDescent="0.2">
      <c r="A44" s="70">
        <f t="shared" si="12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4"/>
        <v>1946700</v>
      </c>
      <c r="N44" s="72">
        <f t="shared" si="15"/>
        <v>3090000</v>
      </c>
      <c r="O44" s="72">
        <v>1088550</v>
      </c>
      <c r="P44" s="72">
        <f>527000+400000+27000+600000+300000</f>
        <v>1854000</v>
      </c>
      <c r="Q44" s="72">
        <f t="shared" si="7"/>
        <v>147450</v>
      </c>
      <c r="R44" s="72">
        <f>922500+922500+922500</f>
        <v>2767500</v>
      </c>
      <c r="S44" s="72">
        <f t="shared" si="16"/>
        <v>498150</v>
      </c>
      <c r="T44" s="72"/>
      <c r="U44" s="53">
        <f t="shared" si="11"/>
        <v>-323100</v>
      </c>
      <c r="V44" s="53">
        <f t="shared" si="13"/>
        <v>6298000</v>
      </c>
      <c r="W44" s="53" t="s">
        <v>116</v>
      </c>
      <c r="X44" s="74">
        <v>4444000</v>
      </c>
      <c r="Y44" s="75">
        <f t="shared" si="6"/>
        <v>1854000</v>
      </c>
    </row>
    <row r="45" spans="1:25" ht="12.95" customHeight="1" x14ac:dyDescent="0.2">
      <c r="A45" s="70">
        <f t="shared" si="12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4"/>
        <v>4968142</v>
      </c>
      <c r="N45" s="72">
        <f t="shared" si="15"/>
        <v>4360000</v>
      </c>
      <c r="O45" s="72">
        <v>1227200</v>
      </c>
      <c r="P45" s="72">
        <f>1308000+1308000</f>
        <v>2616000</v>
      </c>
      <c r="Q45" s="72">
        <f t="shared" si="7"/>
        <v>516800</v>
      </c>
      <c r="R45" s="72">
        <f>1040000+1040000+1040000</f>
        <v>3120000</v>
      </c>
      <c r="S45" s="72">
        <f t="shared" si="16"/>
        <v>561600</v>
      </c>
      <c r="T45" s="72"/>
      <c r="U45" s="53">
        <f t="shared" si="11"/>
        <v>161600</v>
      </c>
      <c r="V45" s="53">
        <f t="shared" si="13"/>
        <v>10400000</v>
      </c>
      <c r="W45" s="53" t="s">
        <v>116</v>
      </c>
      <c r="X45" s="74">
        <v>2355000</v>
      </c>
      <c r="Y45" s="75">
        <f t="shared" si="6"/>
        <v>8045000</v>
      </c>
    </row>
    <row r="46" spans="1:25" ht="12.95" customHeight="1" x14ac:dyDescent="0.2">
      <c r="A46" s="70">
        <f t="shared" si="12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4"/>
        <v>710400</v>
      </c>
      <c r="N46" s="72">
        <f t="shared" si="15"/>
        <v>3140000</v>
      </c>
      <c r="O46" s="72">
        <f>867300+867300</f>
        <v>1734600</v>
      </c>
      <c r="P46" s="72">
        <f>600000</f>
        <v>600000</v>
      </c>
      <c r="Q46" s="72">
        <f t="shared" si="7"/>
        <v>805400</v>
      </c>
      <c r="R46" s="72">
        <f>1470000+735000</f>
        <v>2205000</v>
      </c>
      <c r="S46" s="72">
        <f t="shared" si="16"/>
        <v>396900</v>
      </c>
      <c r="T46" s="72">
        <v>9558</v>
      </c>
      <c r="U46" s="53">
        <f t="shared" si="11"/>
        <v>-276858</v>
      </c>
      <c r="V46" s="53">
        <f t="shared" si="13"/>
        <v>6725000</v>
      </c>
      <c r="W46" s="53" t="s">
        <v>116</v>
      </c>
      <c r="X46" s="74">
        <v>6125000</v>
      </c>
      <c r="Y46" s="75">
        <f t="shared" si="6"/>
        <v>600000</v>
      </c>
    </row>
    <row r="47" spans="1:25" ht="12.95" customHeight="1" x14ac:dyDescent="0.2">
      <c r="A47" s="70">
        <f t="shared" si="12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4"/>
        <v>1890800</v>
      </c>
      <c r="N47" s="72">
        <f t="shared" si="15"/>
        <v>3880000</v>
      </c>
      <c r="O47" s="72">
        <f>1085600+1085600</f>
        <v>2171200</v>
      </c>
      <c r="P47" s="72"/>
      <c r="Q47" s="72">
        <f t="shared" si="7"/>
        <v>1708800</v>
      </c>
      <c r="R47" s="72">
        <f>1840000+920000</f>
        <v>2760000</v>
      </c>
      <c r="S47" s="72">
        <f t="shared" si="16"/>
        <v>496800</v>
      </c>
      <c r="T47" s="72"/>
      <c r="U47" s="53">
        <f t="shared" si="11"/>
        <v>-1085600</v>
      </c>
      <c r="V47" s="53">
        <f t="shared" si="13"/>
        <v>6872000</v>
      </c>
      <c r="W47" s="53" t="s">
        <v>116</v>
      </c>
      <c r="X47" s="74">
        <v>6872000</v>
      </c>
      <c r="Y47" s="75">
        <f t="shared" si="6"/>
        <v>0</v>
      </c>
    </row>
    <row r="48" spans="1:25" ht="12.95" customHeight="1" x14ac:dyDescent="0.2">
      <c r="A48" s="70">
        <f t="shared" si="12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4"/>
        <v>-4077799</v>
      </c>
      <c r="N48" s="72">
        <f t="shared" si="15"/>
        <v>3320000</v>
      </c>
      <c r="O48" s="72">
        <f>1156400+1156400</f>
        <v>2312800</v>
      </c>
      <c r="P48" s="72">
        <f>1992000+59060+1476000</f>
        <v>3527060</v>
      </c>
      <c r="Q48" s="72">
        <f t="shared" si="7"/>
        <v>-2519860</v>
      </c>
      <c r="R48" s="72">
        <f>1960000+980000</f>
        <v>2940000</v>
      </c>
      <c r="S48" s="72">
        <f t="shared" si="16"/>
        <v>529200</v>
      </c>
      <c r="T48" s="72"/>
      <c r="U48" s="53">
        <f t="shared" si="11"/>
        <v>2370660</v>
      </c>
      <c r="V48" s="53">
        <f t="shared" si="13"/>
        <v>4752061</v>
      </c>
      <c r="W48" s="53" t="s">
        <v>116</v>
      </c>
      <c r="X48" s="74">
        <v>725000</v>
      </c>
      <c r="Y48" s="75">
        <f t="shared" si="6"/>
        <v>4027061</v>
      </c>
    </row>
    <row r="49" spans="1:25" ht="12.95" customHeight="1" x14ac:dyDescent="0.2">
      <c r="A49" s="70">
        <f t="shared" si="12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4"/>
        <v>-4062000</v>
      </c>
      <c r="N49" s="72">
        <f t="shared" si="15"/>
        <v>2000000</v>
      </c>
      <c r="O49" s="72">
        <f>1062000</f>
        <v>1062000</v>
      </c>
      <c r="P49" s="72"/>
      <c r="Q49" s="72">
        <f t="shared" si="7"/>
        <v>938000</v>
      </c>
      <c r="R49" s="72">
        <v>900000</v>
      </c>
      <c r="S49" s="72">
        <f t="shared" si="16"/>
        <v>162000</v>
      </c>
      <c r="T49" s="72"/>
      <c r="U49" s="53">
        <f t="shared" si="11"/>
        <v>0</v>
      </c>
      <c r="V49" s="53">
        <f t="shared" si="13"/>
        <v>0</v>
      </c>
      <c r="W49" s="53"/>
      <c r="X49" s="74">
        <v>4260007</v>
      </c>
      <c r="Y49" s="75">
        <f t="shared" si="6"/>
        <v>-4260007</v>
      </c>
    </row>
    <row r="50" spans="1:25" ht="12.95" customHeight="1" x14ac:dyDescent="0.2">
      <c r="A50" s="70">
        <f t="shared" si="12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4"/>
        <v>6460000</v>
      </c>
      <c r="N50" s="72">
        <f t="shared" si="15"/>
        <v>4350000</v>
      </c>
      <c r="O50" s="72"/>
      <c r="P50" s="72">
        <f>1305000</f>
        <v>1305000</v>
      </c>
      <c r="Q50" s="72">
        <f t="shared" si="7"/>
        <v>3045000</v>
      </c>
      <c r="R50" s="72">
        <f>1037500+1037500</f>
        <v>2075000</v>
      </c>
      <c r="S50" s="72">
        <f t="shared" si="16"/>
        <v>373500</v>
      </c>
      <c r="T50" s="72"/>
      <c r="U50" s="53">
        <f t="shared" si="11"/>
        <v>-1143500</v>
      </c>
      <c r="V50" s="53">
        <f t="shared" si="13"/>
        <v>7765000</v>
      </c>
      <c r="W50" s="53" t="s">
        <v>116</v>
      </c>
      <c r="X50" s="74">
        <v>1225000</v>
      </c>
      <c r="Y50" s="75">
        <f t="shared" si="6"/>
        <v>6540000</v>
      </c>
    </row>
    <row r="51" spans="1:25" ht="12.95" customHeight="1" x14ac:dyDescent="0.2">
      <c r="A51" s="70"/>
      <c r="B51" s="71">
        <v>167</v>
      </c>
      <c r="C51" s="64">
        <v>2040</v>
      </c>
      <c r="D51" s="72" t="s">
        <v>109</v>
      </c>
      <c r="E51" s="71" t="s">
        <v>248</v>
      </c>
      <c r="F51" s="73">
        <v>12850000</v>
      </c>
      <c r="G51" s="72">
        <f t="shared" si="3"/>
        <v>7710000</v>
      </c>
      <c r="H51" s="72"/>
      <c r="I51" s="72"/>
      <c r="J51" s="72"/>
      <c r="K51" s="72"/>
      <c r="L51" s="72"/>
      <c r="M51" s="72"/>
      <c r="N51" s="72">
        <f t="shared" si="15"/>
        <v>5140000</v>
      </c>
      <c r="O51" s="72"/>
      <c r="P51" s="72">
        <f>600000+1542000</f>
        <v>2142000</v>
      </c>
      <c r="Q51" s="72">
        <f t="shared" si="7"/>
        <v>2998000</v>
      </c>
      <c r="R51" s="72"/>
      <c r="S51" s="72"/>
      <c r="T51" s="72"/>
      <c r="U51" s="53">
        <f t="shared" si="11"/>
        <v>2142000</v>
      </c>
      <c r="V51" s="53"/>
      <c r="W51" s="53"/>
      <c r="X51" s="74"/>
      <c r="Y51" s="75"/>
    </row>
    <row r="52" spans="1:25" ht="12.95" customHeight="1" x14ac:dyDescent="0.2">
      <c r="A52" s="70">
        <f>A50+1</f>
        <v>46</v>
      </c>
      <c r="B52" s="71">
        <v>168</v>
      </c>
      <c r="C52" s="64">
        <v>2040</v>
      </c>
      <c r="D52" s="72" t="s">
        <v>109</v>
      </c>
      <c r="E52" s="71" t="s">
        <v>92</v>
      </c>
      <c r="F52" s="73">
        <v>10900000</v>
      </c>
      <c r="G52" s="72">
        <f t="shared" si="3"/>
        <v>6540000</v>
      </c>
      <c r="H52" s="72">
        <f>725000+500000</f>
        <v>1225000</v>
      </c>
      <c r="I52" s="72">
        <f t="shared" si="4"/>
        <v>5315000</v>
      </c>
      <c r="J52" s="72"/>
      <c r="K52" s="72"/>
      <c r="L52" s="72"/>
      <c r="M52" s="72">
        <f t="shared" si="14"/>
        <v>1225000</v>
      </c>
      <c r="N52" s="72">
        <f t="shared" si="15"/>
        <v>4360000</v>
      </c>
      <c r="O52" s="72"/>
      <c r="P52" s="72">
        <f>784800+105572+2180000</f>
        <v>3070372</v>
      </c>
      <c r="Q52" s="72">
        <f t="shared" si="7"/>
        <v>1289628</v>
      </c>
      <c r="R52" s="72">
        <f>1040000+1040000</f>
        <v>2080000</v>
      </c>
      <c r="S52" s="72">
        <f t="shared" si="16"/>
        <v>374400</v>
      </c>
      <c r="T52" s="72">
        <v>12508</v>
      </c>
      <c r="U52" s="53">
        <f t="shared" si="11"/>
        <v>603464</v>
      </c>
      <c r="V52" s="53">
        <f t="shared" si="13"/>
        <v>4295372</v>
      </c>
      <c r="W52" s="53" t="s">
        <v>116</v>
      </c>
      <c r="X52" s="74">
        <v>725000</v>
      </c>
      <c r="Y52" s="75">
        <f t="shared" si="6"/>
        <v>3570372</v>
      </c>
    </row>
    <row r="53" spans="1:25" ht="12.95" customHeight="1" x14ac:dyDescent="0.2">
      <c r="A53" s="70">
        <f t="shared" si="12"/>
        <v>47</v>
      </c>
      <c r="B53" s="71">
        <v>169</v>
      </c>
      <c r="C53" s="64">
        <v>2040</v>
      </c>
      <c r="D53" s="72" t="s">
        <v>109</v>
      </c>
      <c r="E53" s="71" t="s">
        <v>93</v>
      </c>
      <c r="F53" s="73">
        <v>11350000</v>
      </c>
      <c r="G53" s="72">
        <f t="shared" si="3"/>
        <v>6810000</v>
      </c>
      <c r="H53" s="72">
        <f>225000+1000000</f>
        <v>1225000</v>
      </c>
      <c r="I53" s="72">
        <f t="shared" si="4"/>
        <v>5585000</v>
      </c>
      <c r="J53" s="72"/>
      <c r="K53" s="72"/>
      <c r="L53" s="72"/>
      <c r="M53" s="72">
        <f t="shared" si="14"/>
        <v>1225000</v>
      </c>
      <c r="N53" s="72">
        <f t="shared" si="15"/>
        <v>4540000</v>
      </c>
      <c r="O53" s="72"/>
      <c r="P53" s="72">
        <v>1362000</v>
      </c>
      <c r="Q53" s="72">
        <f t="shared" si="7"/>
        <v>3178000</v>
      </c>
      <c r="R53" s="72">
        <f>1085000+1085000</f>
        <v>2170000</v>
      </c>
      <c r="S53" s="72">
        <f t="shared" si="16"/>
        <v>390600</v>
      </c>
      <c r="T53" s="72"/>
      <c r="U53" s="53">
        <f t="shared" si="11"/>
        <v>-1198600</v>
      </c>
      <c r="V53" s="53">
        <f t="shared" si="13"/>
        <v>2587000</v>
      </c>
      <c r="W53" s="53" t="s">
        <v>116</v>
      </c>
      <c r="X53" s="74">
        <v>225000</v>
      </c>
      <c r="Y53" s="75">
        <f t="shared" si="6"/>
        <v>2362000</v>
      </c>
    </row>
    <row r="54" spans="1:25" ht="12.95" customHeight="1" x14ac:dyDescent="0.2">
      <c r="A54" s="70">
        <f t="shared" si="12"/>
        <v>48</v>
      </c>
      <c r="B54" s="71">
        <v>170</v>
      </c>
      <c r="C54" s="64">
        <v>2040</v>
      </c>
      <c r="D54" s="72" t="s">
        <v>109</v>
      </c>
      <c r="E54" s="71" t="s">
        <v>94</v>
      </c>
      <c r="F54" s="73">
        <v>10400000</v>
      </c>
      <c r="G54" s="72">
        <f t="shared" si="3"/>
        <v>6240000</v>
      </c>
      <c r="H54" s="72">
        <v>1425000</v>
      </c>
      <c r="I54" s="72">
        <f t="shared" si="4"/>
        <v>4815000</v>
      </c>
      <c r="J54" s="72"/>
      <c r="K54" s="72"/>
      <c r="L54" s="72"/>
      <c r="M54" s="72">
        <f t="shared" si="14"/>
        <v>1425000</v>
      </c>
      <c r="N54" s="72">
        <f t="shared" si="15"/>
        <v>4160000</v>
      </c>
      <c r="O54" s="72"/>
      <c r="P54" s="72">
        <f>278400+969600</f>
        <v>1248000</v>
      </c>
      <c r="Q54" s="72">
        <f t="shared" si="7"/>
        <v>2912000</v>
      </c>
      <c r="R54" s="72">
        <f>990000+990000</f>
        <v>1980000</v>
      </c>
      <c r="S54" s="72">
        <f t="shared" si="16"/>
        <v>356400</v>
      </c>
      <c r="T54" s="72"/>
      <c r="U54" s="53">
        <f t="shared" si="11"/>
        <v>-1088400</v>
      </c>
      <c r="V54" s="53">
        <f t="shared" si="13"/>
        <v>2673000</v>
      </c>
      <c r="W54" s="53" t="s">
        <v>116</v>
      </c>
      <c r="X54" s="74">
        <v>1425000</v>
      </c>
      <c r="Y54" s="75">
        <f t="shared" si="6"/>
        <v>1248000</v>
      </c>
    </row>
    <row r="55" spans="1:25" ht="12.95" customHeight="1" x14ac:dyDescent="0.2">
      <c r="A55" s="70">
        <f t="shared" si="12"/>
        <v>49</v>
      </c>
      <c r="B55" s="71">
        <v>171</v>
      </c>
      <c r="C55" s="64">
        <v>2040</v>
      </c>
      <c r="D55" s="72" t="s">
        <v>109</v>
      </c>
      <c r="E55" s="71" t="s">
        <v>95</v>
      </c>
      <c r="F55" s="73">
        <v>11400000</v>
      </c>
      <c r="G55" s="72">
        <f t="shared" si="3"/>
        <v>6840000</v>
      </c>
      <c r="H55" s="72">
        <f>225000+1000000</f>
        <v>1225000</v>
      </c>
      <c r="I55" s="72">
        <f t="shared" si="4"/>
        <v>5615000</v>
      </c>
      <c r="J55" s="72"/>
      <c r="K55" s="72"/>
      <c r="L55" s="72"/>
      <c r="M55" s="72">
        <f t="shared" si="14"/>
        <v>1225000</v>
      </c>
      <c r="N55" s="72">
        <f t="shared" si="15"/>
        <v>4560000</v>
      </c>
      <c r="O55" s="72"/>
      <c r="P55" s="72">
        <v>1368000</v>
      </c>
      <c r="Q55" s="72">
        <f t="shared" si="7"/>
        <v>3192000</v>
      </c>
      <c r="R55" s="72">
        <v>1090000</v>
      </c>
      <c r="S55" s="72">
        <f t="shared" si="16"/>
        <v>196200</v>
      </c>
      <c r="T55" s="72"/>
      <c r="U55" s="53">
        <f t="shared" si="11"/>
        <v>81800</v>
      </c>
      <c r="V55" s="53">
        <f t="shared" si="13"/>
        <v>2593000</v>
      </c>
      <c r="W55" s="53" t="s">
        <v>116</v>
      </c>
      <c r="X55" s="74">
        <v>225000</v>
      </c>
      <c r="Y55" s="75">
        <f t="shared" si="6"/>
        <v>2368000</v>
      </c>
    </row>
    <row r="56" spans="1:25" ht="12.95" customHeight="1" x14ac:dyDescent="0.2">
      <c r="A56" s="70">
        <f t="shared" si="12"/>
        <v>50</v>
      </c>
      <c r="B56" s="71">
        <v>174</v>
      </c>
      <c r="C56" s="64">
        <v>2040</v>
      </c>
      <c r="D56" s="72" t="s">
        <v>109</v>
      </c>
      <c r="E56" s="71" t="s">
        <v>96</v>
      </c>
      <c r="F56" s="73">
        <v>10000000</v>
      </c>
      <c r="G56" s="72">
        <f t="shared" si="3"/>
        <v>6000000</v>
      </c>
      <c r="H56" s="72">
        <v>1225000</v>
      </c>
      <c r="I56" s="72">
        <f t="shared" si="4"/>
        <v>4775000</v>
      </c>
      <c r="J56" s="72"/>
      <c r="K56" s="72"/>
      <c r="L56" s="72"/>
      <c r="M56" s="72">
        <f t="shared" si="14"/>
        <v>1225000</v>
      </c>
      <c r="N56" s="72">
        <f t="shared" si="15"/>
        <v>4000000</v>
      </c>
      <c r="O56" s="72"/>
      <c r="P56" s="72">
        <f>1000000+200000</f>
        <v>1200000</v>
      </c>
      <c r="Q56" s="72">
        <f t="shared" si="7"/>
        <v>2800000</v>
      </c>
      <c r="R56" s="72">
        <f>950000</f>
        <v>950000</v>
      </c>
      <c r="S56" s="72">
        <f t="shared" si="16"/>
        <v>171000</v>
      </c>
      <c r="T56" s="72"/>
      <c r="U56" s="53">
        <f t="shared" si="11"/>
        <v>79000</v>
      </c>
      <c r="V56" s="53">
        <f t="shared" si="13"/>
        <v>2425000</v>
      </c>
      <c r="W56" s="53" t="s">
        <v>116</v>
      </c>
      <c r="X56" s="74">
        <v>1225000</v>
      </c>
      <c r="Y56" s="75">
        <f t="shared" si="6"/>
        <v>1200000</v>
      </c>
    </row>
    <row r="57" spans="1:25" ht="12.95" customHeight="1" x14ac:dyDescent="0.2">
      <c r="A57" s="70">
        <f t="shared" si="12"/>
        <v>51</v>
      </c>
      <c r="B57" s="71">
        <v>175</v>
      </c>
      <c r="C57" s="64">
        <v>2040</v>
      </c>
      <c r="D57" s="72" t="s">
        <v>109</v>
      </c>
      <c r="E57" s="71" t="s">
        <v>97</v>
      </c>
      <c r="F57" s="73">
        <v>10875000</v>
      </c>
      <c r="G57" s="72">
        <f t="shared" si="3"/>
        <v>6525000</v>
      </c>
      <c r="H57" s="72">
        <v>1225000</v>
      </c>
      <c r="I57" s="72">
        <f t="shared" si="4"/>
        <v>5300000</v>
      </c>
      <c r="J57" s="72"/>
      <c r="K57" s="72"/>
      <c r="L57" s="72"/>
      <c r="M57" s="72">
        <f t="shared" si="14"/>
        <v>1225000</v>
      </c>
      <c r="N57" s="72">
        <f t="shared" si="15"/>
        <v>4350000</v>
      </c>
      <c r="O57" s="72"/>
      <c r="P57" s="72"/>
      <c r="Q57" s="72">
        <f t="shared" si="7"/>
        <v>4350000</v>
      </c>
      <c r="R57" s="72">
        <f>1037500</f>
        <v>1037500</v>
      </c>
      <c r="S57" s="72">
        <f t="shared" si="16"/>
        <v>186750</v>
      </c>
      <c r="T57" s="72"/>
      <c r="U57" s="53">
        <f t="shared" si="11"/>
        <v>-1224250</v>
      </c>
      <c r="V57" s="53">
        <f t="shared" si="13"/>
        <v>1225000</v>
      </c>
      <c r="W57" s="53" t="s">
        <v>116</v>
      </c>
      <c r="X57" s="74">
        <v>1225000</v>
      </c>
      <c r="Y57" s="75">
        <f t="shared" si="6"/>
        <v>0</v>
      </c>
    </row>
    <row r="58" spans="1:25" ht="12.95" customHeight="1" x14ac:dyDescent="0.2">
      <c r="A58" s="70">
        <f t="shared" si="12"/>
        <v>52</v>
      </c>
      <c r="B58" s="71">
        <v>176</v>
      </c>
      <c r="C58" s="64">
        <v>2040</v>
      </c>
      <c r="D58" s="72" t="s">
        <v>109</v>
      </c>
      <c r="E58" s="71" t="s">
        <v>98</v>
      </c>
      <c r="F58" s="73">
        <v>10000000</v>
      </c>
      <c r="G58" s="72">
        <f t="shared" si="3"/>
        <v>6000000</v>
      </c>
      <c r="H58" s="72">
        <v>5875000</v>
      </c>
      <c r="I58" s="72">
        <f t="shared" si="4"/>
        <v>125000</v>
      </c>
      <c r="J58" s="72"/>
      <c r="K58" s="72"/>
      <c r="L58" s="72"/>
      <c r="M58" s="72">
        <f t="shared" si="14"/>
        <v>5875000</v>
      </c>
      <c r="N58" s="72">
        <f t="shared" si="15"/>
        <v>4000000</v>
      </c>
      <c r="O58" s="72"/>
      <c r="P58" s="72"/>
      <c r="Q58" s="72">
        <f t="shared" si="7"/>
        <v>4000000</v>
      </c>
      <c r="R58" s="72">
        <v>950000</v>
      </c>
      <c r="S58" s="72">
        <f t="shared" si="16"/>
        <v>171000</v>
      </c>
      <c r="T58" s="72"/>
      <c r="U58" s="53">
        <f t="shared" si="11"/>
        <v>-1121000</v>
      </c>
      <c r="V58" s="53">
        <f t="shared" si="13"/>
        <v>5875000</v>
      </c>
      <c r="W58" s="53" t="s">
        <v>116</v>
      </c>
      <c r="X58" s="74">
        <v>1225000</v>
      </c>
      <c r="Y58" s="75">
        <f t="shared" si="6"/>
        <v>4650000</v>
      </c>
    </row>
    <row r="59" spans="1:25" ht="12.95" customHeight="1" x14ac:dyDescent="0.2">
      <c r="A59" s="70">
        <f t="shared" si="12"/>
        <v>53</v>
      </c>
      <c r="B59" s="71">
        <v>177</v>
      </c>
      <c r="C59" s="64">
        <v>2040</v>
      </c>
      <c r="D59" s="72" t="s">
        <v>109</v>
      </c>
      <c r="E59" s="71" t="s">
        <v>99</v>
      </c>
      <c r="F59" s="73">
        <v>8500000</v>
      </c>
      <c r="G59" s="72">
        <f t="shared" si="3"/>
        <v>5100000</v>
      </c>
      <c r="H59" s="72">
        <v>3825000</v>
      </c>
      <c r="I59" s="72">
        <f t="shared" si="4"/>
        <v>1275000</v>
      </c>
      <c r="J59" s="72"/>
      <c r="K59" s="72"/>
      <c r="L59" s="72"/>
      <c r="M59" s="72">
        <f t="shared" si="14"/>
        <v>3825000</v>
      </c>
      <c r="N59" s="72">
        <f t="shared" si="15"/>
        <v>3400000</v>
      </c>
      <c r="O59" s="72"/>
      <c r="P59" s="72">
        <f>900000+100000+200000</f>
        <v>1200000</v>
      </c>
      <c r="Q59" s="72">
        <f t="shared" si="7"/>
        <v>2200000</v>
      </c>
      <c r="R59" s="72">
        <v>800000</v>
      </c>
      <c r="S59" s="72">
        <f t="shared" si="16"/>
        <v>144000</v>
      </c>
      <c r="T59" s="72"/>
      <c r="U59" s="53">
        <f t="shared" si="11"/>
        <v>256000</v>
      </c>
      <c r="V59" s="53">
        <f t="shared" si="13"/>
        <v>5025000</v>
      </c>
      <c r="W59" s="53" t="s">
        <v>116</v>
      </c>
      <c r="X59" s="74">
        <v>1225000</v>
      </c>
      <c r="Y59" s="75">
        <f t="shared" si="6"/>
        <v>3800000</v>
      </c>
    </row>
    <row r="60" spans="1:25" ht="12.95" customHeight="1" x14ac:dyDescent="0.2">
      <c r="A60" s="70">
        <f t="shared" si="12"/>
        <v>54</v>
      </c>
      <c r="B60" s="71">
        <v>178</v>
      </c>
      <c r="C60" s="64">
        <v>2040</v>
      </c>
      <c r="D60" s="72" t="s">
        <v>109</v>
      </c>
      <c r="E60" s="71" t="s">
        <v>100</v>
      </c>
      <c r="F60" s="73">
        <v>12400000</v>
      </c>
      <c r="G60" s="72">
        <f t="shared" si="3"/>
        <v>7440000</v>
      </c>
      <c r="H60" s="72">
        <f>2425000+4000000</f>
        <v>6425000</v>
      </c>
      <c r="I60" s="72">
        <f t="shared" si="4"/>
        <v>1015000</v>
      </c>
      <c r="J60" s="72"/>
      <c r="K60" s="72"/>
      <c r="L60" s="72"/>
      <c r="M60" s="72">
        <f t="shared" si="14"/>
        <v>6425000</v>
      </c>
      <c r="N60" s="72">
        <f t="shared" si="15"/>
        <v>4960000</v>
      </c>
      <c r="O60" s="72"/>
      <c r="P60" s="72"/>
      <c r="Q60" s="72">
        <f t="shared" si="7"/>
        <v>4960000</v>
      </c>
      <c r="R60" s="72">
        <v>0</v>
      </c>
      <c r="S60" s="72">
        <f t="shared" si="16"/>
        <v>0</v>
      </c>
      <c r="T60" s="72"/>
      <c r="U60" s="53">
        <f t="shared" si="11"/>
        <v>0</v>
      </c>
      <c r="V60" s="53">
        <f t="shared" si="13"/>
        <v>6425000</v>
      </c>
      <c r="W60" s="53" t="s">
        <v>117</v>
      </c>
      <c r="X60" s="74">
        <v>225000</v>
      </c>
      <c r="Y60" s="75">
        <f t="shared" si="6"/>
        <v>6200000</v>
      </c>
    </row>
    <row r="61" spans="1:25" ht="12.95" customHeight="1" x14ac:dyDescent="0.2">
      <c r="A61" s="70">
        <f t="shared" si="12"/>
        <v>55</v>
      </c>
      <c r="B61" s="71">
        <v>179</v>
      </c>
      <c r="C61" s="64">
        <v>2040</v>
      </c>
      <c r="D61" s="72" t="s">
        <v>109</v>
      </c>
      <c r="E61" s="71" t="s">
        <v>101</v>
      </c>
      <c r="F61" s="73">
        <v>9800000</v>
      </c>
      <c r="G61" s="72">
        <f t="shared" si="3"/>
        <v>5880000</v>
      </c>
      <c r="H61" s="72">
        <f>6025000</f>
        <v>6025000</v>
      </c>
      <c r="I61" s="72">
        <f t="shared" si="4"/>
        <v>-145000</v>
      </c>
      <c r="J61" s="72"/>
      <c r="K61" s="72"/>
      <c r="L61" s="72">
        <v>3658</v>
      </c>
      <c r="M61" s="72">
        <f t="shared" si="14"/>
        <v>6021342</v>
      </c>
      <c r="N61" s="72">
        <f t="shared" si="15"/>
        <v>3920000</v>
      </c>
      <c r="O61" s="72"/>
      <c r="P61" s="72"/>
      <c r="Q61" s="72">
        <f t="shared" si="7"/>
        <v>3920000</v>
      </c>
      <c r="R61" s="72">
        <v>930000</v>
      </c>
      <c r="S61" s="72">
        <f t="shared" si="16"/>
        <v>167400</v>
      </c>
      <c r="T61" s="72"/>
      <c r="U61" s="53">
        <f t="shared" si="11"/>
        <v>-1097400</v>
      </c>
      <c r="V61" s="53">
        <f t="shared" si="13"/>
        <v>6025000</v>
      </c>
      <c r="W61" s="53" t="s">
        <v>116</v>
      </c>
      <c r="X61" s="74">
        <v>1225000</v>
      </c>
      <c r="Y61" s="75">
        <f t="shared" si="6"/>
        <v>4800000</v>
      </c>
    </row>
    <row r="62" spans="1:25" ht="12.95" customHeight="1" x14ac:dyDescent="0.2">
      <c r="A62" s="70">
        <f t="shared" si="12"/>
        <v>56</v>
      </c>
      <c r="B62" s="71">
        <v>180</v>
      </c>
      <c r="C62" s="64">
        <v>2040</v>
      </c>
      <c r="D62" s="72" t="s">
        <v>109</v>
      </c>
      <c r="E62" s="71" t="s">
        <v>102</v>
      </c>
      <c r="F62" s="73">
        <v>9800000</v>
      </c>
      <c r="G62" s="72">
        <f t="shared" si="3"/>
        <v>5880000</v>
      </c>
      <c r="H62" s="72">
        <f>225000+5547000</f>
        <v>5772000</v>
      </c>
      <c r="I62" s="72">
        <f t="shared" si="4"/>
        <v>108000</v>
      </c>
      <c r="J62" s="72">
        <f>225000+992200</f>
        <v>1217200</v>
      </c>
      <c r="K62" s="72">
        <v>760864</v>
      </c>
      <c r="L62" s="72"/>
      <c r="M62" s="72">
        <f t="shared" si="14"/>
        <v>3793936</v>
      </c>
      <c r="N62" s="72">
        <f t="shared" si="15"/>
        <v>3920000</v>
      </c>
      <c r="O62" s="72">
        <v>760864</v>
      </c>
      <c r="P62" s="72">
        <f>1176000+150000+1176000</f>
        <v>2502000</v>
      </c>
      <c r="Q62" s="72">
        <f t="shared" si="7"/>
        <v>657136</v>
      </c>
      <c r="R62" s="72">
        <f>1289600+644800</f>
        <v>1934400</v>
      </c>
      <c r="S62" s="72">
        <f t="shared" si="16"/>
        <v>348192</v>
      </c>
      <c r="T62" s="72">
        <v>9558</v>
      </c>
      <c r="U62" s="53">
        <f t="shared" si="11"/>
        <v>970714</v>
      </c>
      <c r="V62" s="53">
        <f t="shared" si="13"/>
        <v>8274000</v>
      </c>
      <c r="W62" s="53" t="s">
        <v>116</v>
      </c>
      <c r="X62" s="74">
        <v>5772000</v>
      </c>
      <c r="Y62" s="75">
        <f t="shared" si="6"/>
        <v>2502000</v>
      </c>
    </row>
    <row r="63" spans="1:25" ht="12.95" customHeight="1" x14ac:dyDescent="0.2">
      <c r="A63" s="70">
        <f t="shared" si="12"/>
        <v>57</v>
      </c>
      <c r="B63" s="71">
        <v>181</v>
      </c>
      <c r="C63" s="64">
        <v>2040</v>
      </c>
      <c r="D63" s="72" t="s">
        <v>109</v>
      </c>
      <c r="E63" s="71" t="s">
        <v>103</v>
      </c>
      <c r="F63" s="73">
        <v>9600000</v>
      </c>
      <c r="G63" s="72">
        <f t="shared" si="3"/>
        <v>5760000</v>
      </c>
      <c r="H63" s="72">
        <f>1000000+5346451</f>
        <v>6346451</v>
      </c>
      <c r="I63" s="72">
        <f t="shared" si="4"/>
        <v>-586451</v>
      </c>
      <c r="J63" s="72">
        <f>1000000+1390000</f>
        <v>2390000</v>
      </c>
      <c r="K63" s="54">
        <v>1073800</v>
      </c>
      <c r="L63" s="72"/>
      <c r="M63" s="72">
        <f t="shared" si="14"/>
        <v>2882651</v>
      </c>
      <c r="N63" s="72">
        <f t="shared" si="15"/>
        <v>3840000</v>
      </c>
      <c r="O63" s="54">
        <v>1073800</v>
      </c>
      <c r="P63" s="72">
        <f>1152000+1152000+1309164</f>
        <v>3613164</v>
      </c>
      <c r="Q63" s="72">
        <f t="shared" si="7"/>
        <v>-846964</v>
      </c>
      <c r="R63" s="72">
        <f>1820000+910000</f>
        <v>2730000</v>
      </c>
      <c r="S63" s="72">
        <f t="shared" si="16"/>
        <v>491400</v>
      </c>
      <c r="T63" s="72">
        <v>9558</v>
      </c>
      <c r="U63" s="53">
        <f t="shared" si="11"/>
        <v>1456006</v>
      </c>
      <c r="V63" s="53">
        <f t="shared" si="13"/>
        <v>9959615</v>
      </c>
      <c r="W63" s="53" t="s">
        <v>117</v>
      </c>
      <c r="X63" s="74">
        <v>5546450</v>
      </c>
      <c r="Y63" s="75">
        <f t="shared" si="6"/>
        <v>4413165</v>
      </c>
    </row>
    <row r="64" spans="1:25" ht="12.95" customHeight="1" x14ac:dyDescent="0.2">
      <c r="A64" s="70">
        <f t="shared" si="12"/>
        <v>58</v>
      </c>
      <c r="B64" s="71">
        <v>182</v>
      </c>
      <c r="C64" s="64">
        <v>2040</v>
      </c>
      <c r="D64" s="72" t="s">
        <v>109</v>
      </c>
      <c r="E64" s="71" t="s">
        <v>104</v>
      </c>
      <c r="F64" s="73">
        <v>9950000</v>
      </c>
      <c r="G64" s="72">
        <f t="shared" si="3"/>
        <v>5970000</v>
      </c>
      <c r="H64" s="72">
        <f>6068000</f>
        <v>6068000</v>
      </c>
      <c r="I64" s="72">
        <f t="shared" si="4"/>
        <v>-98000</v>
      </c>
      <c r="J64" s="72">
        <f>1442500</f>
        <v>1442500</v>
      </c>
      <c r="K64" s="72">
        <v>1115100</v>
      </c>
      <c r="L64" s="72"/>
      <c r="M64" s="72">
        <f t="shared" si="14"/>
        <v>3510400</v>
      </c>
      <c r="N64" s="72">
        <f t="shared" si="15"/>
        <v>3980000</v>
      </c>
      <c r="O64" s="72">
        <v>1115100</v>
      </c>
      <c r="P64" s="72">
        <f>1194000+1194000+400+625000+716000</f>
        <v>3729400</v>
      </c>
      <c r="Q64" s="72">
        <f t="shared" si="7"/>
        <v>-864500</v>
      </c>
      <c r="R64" s="72">
        <f>1890000+945000</f>
        <v>2835000</v>
      </c>
      <c r="S64" s="72">
        <f t="shared" si="16"/>
        <v>510300</v>
      </c>
      <c r="T64" s="72">
        <v>9558</v>
      </c>
      <c r="U64" s="53">
        <f t="shared" si="11"/>
        <v>1489642</v>
      </c>
      <c r="V64" s="53">
        <f t="shared" si="13"/>
        <v>9797400</v>
      </c>
      <c r="W64" s="53" t="s">
        <v>116</v>
      </c>
      <c r="X64" s="74">
        <v>6068000</v>
      </c>
      <c r="Y64" s="75">
        <f t="shared" si="6"/>
        <v>3729400</v>
      </c>
    </row>
    <row r="65" spans="1:25" ht="12.95" customHeight="1" x14ac:dyDescent="0.2">
      <c r="A65" s="70">
        <f t="shared" si="12"/>
        <v>59</v>
      </c>
      <c r="B65" s="71">
        <v>183</v>
      </c>
      <c r="C65" s="64">
        <v>2040</v>
      </c>
      <c r="D65" s="72" t="s">
        <v>109</v>
      </c>
      <c r="E65" s="71" t="s">
        <v>105</v>
      </c>
      <c r="F65" s="73">
        <v>10000000</v>
      </c>
      <c r="G65" s="72">
        <f t="shared" si="3"/>
        <v>6000000</v>
      </c>
      <c r="H65" s="72">
        <v>7100000</v>
      </c>
      <c r="I65" s="72">
        <f t="shared" si="4"/>
        <v>-1100000</v>
      </c>
      <c r="J65" s="72">
        <v>1450000</v>
      </c>
      <c r="K65" s="72">
        <v>1121000</v>
      </c>
      <c r="L65" s="72"/>
      <c r="M65" s="72">
        <f t="shared" si="14"/>
        <v>4529000</v>
      </c>
      <c r="N65" s="72">
        <f t="shared" si="15"/>
        <v>4000000</v>
      </c>
      <c r="O65" s="72">
        <v>1121000</v>
      </c>
      <c r="P65" s="72">
        <v>0</v>
      </c>
      <c r="Q65" s="72">
        <f t="shared" si="7"/>
        <v>2879000</v>
      </c>
      <c r="R65" s="72">
        <f>950000+950000+950000</f>
        <v>2850000</v>
      </c>
      <c r="S65" s="72">
        <f t="shared" si="16"/>
        <v>513000</v>
      </c>
      <c r="T65" s="72"/>
      <c r="U65" s="53">
        <f t="shared" si="11"/>
        <v>-2242000</v>
      </c>
      <c r="V65" s="53">
        <f t="shared" si="13"/>
        <v>7100000</v>
      </c>
      <c r="W65" s="53" t="s">
        <v>116</v>
      </c>
      <c r="X65" s="74">
        <v>5900000</v>
      </c>
      <c r="Y65" s="75">
        <f t="shared" si="6"/>
        <v>1200000</v>
      </c>
    </row>
    <row r="66" spans="1:25" ht="12.95" customHeight="1" x14ac:dyDescent="0.2">
      <c r="A66" s="70">
        <f t="shared" si="12"/>
        <v>60</v>
      </c>
      <c r="B66" s="71">
        <v>184</v>
      </c>
      <c r="C66" s="64">
        <v>2040</v>
      </c>
      <c r="D66" s="72" t="s">
        <v>109</v>
      </c>
      <c r="E66" s="71" t="s">
        <v>106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4"/>
        <v>3329000</v>
      </c>
      <c r="N66" s="72">
        <f t="shared" si="15"/>
        <v>4000000</v>
      </c>
      <c r="O66" s="72">
        <v>1121000</v>
      </c>
      <c r="P66" s="72">
        <f>1200000+1920000+693</f>
        <v>3120693</v>
      </c>
      <c r="Q66" s="72">
        <f t="shared" si="7"/>
        <v>-241693</v>
      </c>
      <c r="R66" s="72">
        <f>1900000+950000</f>
        <v>2850000</v>
      </c>
      <c r="S66" s="72">
        <f t="shared" si="16"/>
        <v>513000</v>
      </c>
      <c r="T66" s="72">
        <v>10369</v>
      </c>
      <c r="U66" s="53">
        <f t="shared" si="11"/>
        <v>868324</v>
      </c>
      <c r="V66" s="53">
        <f t="shared" si="13"/>
        <v>9020693</v>
      </c>
      <c r="W66" s="53" t="s">
        <v>116</v>
      </c>
      <c r="X66" s="74">
        <v>5900000</v>
      </c>
      <c r="Y66" s="75">
        <f t="shared" si="6"/>
        <v>3120693</v>
      </c>
    </row>
    <row r="67" spans="1:25" ht="12.95" customHeight="1" x14ac:dyDescent="0.2">
      <c r="A67" s="70">
        <f t="shared" si="12"/>
        <v>61</v>
      </c>
      <c r="B67" s="71">
        <v>185</v>
      </c>
      <c r="C67" s="64">
        <v>2040</v>
      </c>
      <c r="D67" s="72" t="s">
        <v>109</v>
      </c>
      <c r="E67" s="71" t="s">
        <v>107</v>
      </c>
      <c r="F67" s="73">
        <v>10000000</v>
      </c>
      <c r="G67" s="72">
        <f t="shared" si="3"/>
        <v>6000000</v>
      </c>
      <c r="H67" s="72">
        <v>5900000</v>
      </c>
      <c r="I67" s="72">
        <f t="shared" si="4"/>
        <v>100000</v>
      </c>
      <c r="J67" s="72">
        <v>1450000</v>
      </c>
      <c r="K67" s="72">
        <v>1121000</v>
      </c>
      <c r="L67" s="72"/>
      <c r="M67" s="72">
        <f t="shared" si="14"/>
        <v>3329000</v>
      </c>
      <c r="N67" s="72">
        <f t="shared" si="15"/>
        <v>4000000</v>
      </c>
      <c r="O67" s="72">
        <v>1121000</v>
      </c>
      <c r="P67" s="72">
        <f>1200000+1200000</f>
        <v>2400000</v>
      </c>
      <c r="Q67" s="72">
        <f t="shared" si="7"/>
        <v>479000</v>
      </c>
      <c r="R67" s="72">
        <f>950000+950000+950000</f>
        <v>2850000</v>
      </c>
      <c r="S67" s="72">
        <f t="shared" si="16"/>
        <v>513000</v>
      </c>
      <c r="T67" s="72"/>
      <c r="U67" s="53">
        <f t="shared" si="11"/>
        <v>158000</v>
      </c>
      <c r="V67" s="53">
        <f t="shared" si="13"/>
        <v>8300000</v>
      </c>
      <c r="W67" s="53" t="s">
        <v>116</v>
      </c>
      <c r="X67" s="74">
        <v>5900000</v>
      </c>
      <c r="Y67" s="75">
        <f t="shared" si="6"/>
        <v>2400000</v>
      </c>
    </row>
    <row r="68" spans="1:25" ht="12.95" customHeight="1" x14ac:dyDescent="0.2">
      <c r="A68" s="70"/>
      <c r="B68" s="71"/>
      <c r="C68" s="64"/>
      <c r="D68" s="72"/>
      <c r="E68" s="71"/>
      <c r="F68" s="73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>
        <f t="shared" ref="Q68" si="17">N68-P68</f>
        <v>0</v>
      </c>
      <c r="R68" s="72"/>
      <c r="S68" s="72">
        <f t="shared" si="5"/>
        <v>0</v>
      </c>
      <c r="T68" s="72"/>
      <c r="U68" s="53">
        <f t="shared" ref="U68" si="18">P68-R68-S68</f>
        <v>0</v>
      </c>
      <c r="V68" s="53"/>
      <c r="W68" s="53"/>
      <c r="X68" s="74"/>
      <c r="Y68" s="75"/>
    </row>
    <row r="69" spans="1:25" ht="12.95" customHeight="1" x14ac:dyDescent="0.2">
      <c r="A69" s="64"/>
      <c r="B69" s="76" t="s">
        <v>22</v>
      </c>
      <c r="C69" s="52"/>
      <c r="D69" s="72"/>
      <c r="E69" s="54"/>
      <c r="F69" s="52">
        <f>SUM(F6:F67)</f>
        <v>577161000</v>
      </c>
      <c r="G69" s="52">
        <f t="shared" ref="G69:Q69" si="19">SUM(G6:G67)</f>
        <v>346296600</v>
      </c>
      <c r="H69" s="52">
        <f t="shared" si="19"/>
        <v>307586526.69999999</v>
      </c>
      <c r="I69" s="52">
        <f t="shared" si="19"/>
        <v>31000073.300000001</v>
      </c>
      <c r="J69" s="52">
        <f t="shared" si="19"/>
        <v>161896059</v>
      </c>
      <c r="K69" s="52">
        <f t="shared" si="19"/>
        <v>72653002</v>
      </c>
      <c r="L69" s="52"/>
      <c r="M69" s="52">
        <f t="shared" si="19"/>
        <v>73025429.700000003</v>
      </c>
      <c r="N69" s="52">
        <f t="shared" si="19"/>
        <v>230864400</v>
      </c>
      <c r="O69" s="52">
        <f t="shared" si="19"/>
        <v>66938023</v>
      </c>
      <c r="P69" s="52">
        <f t="shared" si="19"/>
        <v>122366617.8</v>
      </c>
      <c r="Q69" s="52">
        <f t="shared" si="19"/>
        <v>43527831.200000003</v>
      </c>
      <c r="R69" s="52">
        <f>SUM(R6:R67)</f>
        <v>142929788</v>
      </c>
      <c r="S69" s="52">
        <f t="shared" ref="S69" si="20">SUM(S6:S67)</f>
        <v>25727361.84</v>
      </c>
      <c r="T69" s="52"/>
      <c r="U69" s="52">
        <f>SUM(U6:U67)</f>
        <v>19696011.960000001</v>
      </c>
      <c r="V69" s="52">
        <f>SUM(V6:V67)</f>
        <v>424765144.5</v>
      </c>
      <c r="W69" s="53"/>
      <c r="X69" s="54">
        <v>271166513</v>
      </c>
      <c r="Y69" s="53">
        <f>X69-V69</f>
        <v>-153598631.5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W26"/>
  <sheetViews>
    <sheetView topLeftCell="B1" zoomScaleNormal="100" workbookViewId="0">
      <pane ySplit="4" topLeftCell="A5" activePane="bottomLeft" state="frozen"/>
      <selection pane="bottomLeft" activeCell="N5" sqref="N5"/>
    </sheetView>
  </sheetViews>
  <sheetFormatPr defaultRowHeight="12" x14ac:dyDescent="0.2"/>
  <cols>
    <col min="1" max="1" width="4.7109375" style="154" customWidth="1"/>
    <col min="2" max="2" width="6.28515625" style="154" customWidth="1"/>
    <col min="3" max="3" width="5.7109375" style="154" customWidth="1"/>
    <col min="4" max="4" width="19" style="154" customWidth="1"/>
    <col min="5" max="5" width="27.42578125" style="154" customWidth="1"/>
    <col min="6" max="6" width="7.28515625" style="154" customWidth="1"/>
    <col min="7" max="8" width="11.140625" style="154" customWidth="1"/>
    <col min="9" max="9" width="11.42578125" style="154" customWidth="1"/>
    <col min="10" max="10" width="12" style="154" customWidth="1"/>
    <col min="11" max="11" width="11.28515625" style="154" customWidth="1"/>
    <col min="12" max="12" width="12" style="154" customWidth="1"/>
    <col min="13" max="13" width="11.85546875" style="154" customWidth="1"/>
    <col min="14" max="15" width="10.28515625" style="154" customWidth="1"/>
    <col min="16" max="16" width="9" style="154" customWidth="1"/>
    <col min="17" max="17" width="12.28515625" style="154" customWidth="1"/>
    <col min="18" max="18" width="11.140625" style="154" hidden="1" customWidth="1"/>
    <col min="19" max="19" width="10.5703125" style="154" bestFit="1" customWidth="1"/>
    <col min="20" max="16384" width="9.140625" style="154"/>
  </cols>
  <sheetData>
    <row r="1" spans="1:23" ht="12.75" x14ac:dyDescent="0.2">
      <c r="A1" s="149"/>
      <c r="B1" s="149"/>
      <c r="C1" s="149"/>
      <c r="D1" s="150" t="s">
        <v>185</v>
      </c>
      <c r="E1" s="151"/>
      <c r="F1" s="151"/>
      <c r="G1" s="150"/>
      <c r="H1" s="150"/>
      <c r="I1" s="152"/>
      <c r="J1" s="150"/>
      <c r="K1" s="91" t="s">
        <v>186</v>
      </c>
      <c r="L1" s="150" t="s">
        <v>245</v>
      </c>
      <c r="M1" s="150"/>
      <c r="N1" s="150"/>
      <c r="O1" s="150"/>
      <c r="P1" s="150"/>
      <c r="Q1" s="150"/>
      <c r="R1" s="153" t="s">
        <v>186</v>
      </c>
      <c r="S1" s="153"/>
      <c r="T1" s="153"/>
      <c r="U1" s="153"/>
      <c r="V1" s="153"/>
      <c r="W1" s="153"/>
    </row>
    <row r="2" spans="1:23" x14ac:dyDescent="0.2">
      <c r="A2" s="149"/>
      <c r="B2" s="149"/>
      <c r="C2" s="149"/>
      <c r="D2" s="150" t="s">
        <v>189</v>
      </c>
      <c r="E2" s="150"/>
      <c r="F2" s="150"/>
      <c r="G2" s="150"/>
      <c r="H2" s="150"/>
      <c r="I2" s="152"/>
      <c r="J2" s="150"/>
      <c r="K2" s="150" t="s">
        <v>187</v>
      </c>
      <c r="L2" s="150" t="s">
        <v>246</v>
      </c>
      <c r="M2" s="150"/>
      <c r="N2" s="150"/>
      <c r="O2" s="150"/>
      <c r="P2" s="150"/>
      <c r="Q2" s="150"/>
      <c r="R2" s="153" t="s">
        <v>187</v>
      </c>
      <c r="S2" s="153"/>
      <c r="T2" s="153"/>
      <c r="U2" s="153"/>
      <c r="V2" s="153"/>
      <c r="W2" s="153"/>
    </row>
    <row r="3" spans="1:23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3" s="39" customFormat="1" ht="54" customHeight="1" x14ac:dyDescent="0.2">
      <c r="A4" s="155" t="s">
        <v>159</v>
      </c>
      <c r="B4" s="155" t="s">
        <v>135</v>
      </c>
      <c r="C4" s="156" t="s">
        <v>136</v>
      </c>
      <c r="D4" s="155" t="s">
        <v>134</v>
      </c>
      <c r="E4" s="155" t="s">
        <v>160</v>
      </c>
      <c r="F4" s="157" t="s">
        <v>242</v>
      </c>
      <c r="G4" s="155" t="s">
        <v>137</v>
      </c>
      <c r="H4" s="155" t="s">
        <v>182</v>
      </c>
      <c r="I4" s="158" t="s">
        <v>138</v>
      </c>
      <c r="J4" s="158" t="s">
        <v>139</v>
      </c>
      <c r="K4" s="158" t="s">
        <v>184</v>
      </c>
      <c r="L4" s="159" t="s">
        <v>179</v>
      </c>
      <c r="M4" s="159" t="s">
        <v>180</v>
      </c>
      <c r="N4" s="159" t="s">
        <v>244</v>
      </c>
      <c r="O4" s="159" t="s">
        <v>243</v>
      </c>
      <c r="P4" s="159" t="s">
        <v>237</v>
      </c>
      <c r="Q4" s="160" t="s">
        <v>126</v>
      </c>
      <c r="R4" s="161" t="s">
        <v>183</v>
      </c>
    </row>
    <row r="5" spans="1:23" ht="21.75" customHeight="1" x14ac:dyDescent="0.2">
      <c r="A5" s="162">
        <v>1</v>
      </c>
      <c r="B5" s="163">
        <v>101</v>
      </c>
      <c r="C5" s="150" t="s">
        <v>144</v>
      </c>
      <c r="D5" s="162" t="s">
        <v>143</v>
      </c>
      <c r="E5" s="162" t="s">
        <v>161</v>
      </c>
      <c r="F5" s="162" t="s">
        <v>109</v>
      </c>
      <c r="G5" s="162">
        <v>8420000</v>
      </c>
      <c r="H5" s="164">
        <f>225000+1000000+2778600+1895600+1010400+606240+1051400+259000+229031</f>
        <v>9055271</v>
      </c>
      <c r="I5" s="165">
        <f>G5*60/100</f>
        <v>5052000</v>
      </c>
      <c r="J5" s="165">
        <f>225000+1000000+2778600+1895600+1010400+1051400</f>
        <v>7961000</v>
      </c>
      <c r="K5" s="165">
        <f>I5-J5</f>
        <v>-2909000</v>
      </c>
      <c r="L5" s="166">
        <f t="shared" ref="L5:L20" si="0">G5*40/100</f>
        <v>3368000</v>
      </c>
      <c r="M5" s="162">
        <f>259000+229031+606240</f>
        <v>1094271</v>
      </c>
      <c r="N5" s="165">
        <v>3368000</v>
      </c>
      <c r="O5" s="165">
        <f>L5*18/100+1004</f>
        <v>607244</v>
      </c>
      <c r="P5" s="165">
        <f>9558+12500+5579+390</f>
        <v>28027</v>
      </c>
      <c r="Q5" s="165">
        <f>M5-N5-O5-P5</f>
        <v>-2909000</v>
      </c>
      <c r="R5" s="167">
        <f t="shared" ref="R5:R23" si="1">G5-H5</f>
        <v>-635271</v>
      </c>
      <c r="S5" s="167">
        <f>H5-J5-M5</f>
        <v>0</v>
      </c>
    </row>
    <row r="6" spans="1:23" x14ac:dyDescent="0.2">
      <c r="A6" s="162">
        <v>2</v>
      </c>
      <c r="B6" s="163">
        <v>103</v>
      </c>
      <c r="C6" s="150" t="s">
        <v>144</v>
      </c>
      <c r="D6" s="162" t="s">
        <v>143</v>
      </c>
      <c r="E6" s="162" t="s">
        <v>162</v>
      </c>
      <c r="F6" s="162"/>
      <c r="G6" s="162">
        <v>8300000</v>
      </c>
      <c r="H6" s="168">
        <f>25000+200000+1000000+3255000+1328000+996000+1000000+296000+620048</f>
        <v>8720048</v>
      </c>
      <c r="I6" s="165">
        <f t="shared" ref="I6:I24" si="2">G6*60/100</f>
        <v>4980000</v>
      </c>
      <c r="J6" s="165">
        <f>225000+1000000+3255000</f>
        <v>4480000</v>
      </c>
      <c r="K6" s="165">
        <f t="shared" ref="K6:K24" si="3">I6-J6</f>
        <v>500000</v>
      </c>
      <c r="L6" s="166">
        <f t="shared" si="0"/>
        <v>3320000</v>
      </c>
      <c r="M6" s="162">
        <f>996000+1000000+296000+620048+1328000</f>
        <v>4240048</v>
      </c>
      <c r="N6" s="165">
        <f>780000+780000+780000</f>
        <v>2340000</v>
      </c>
      <c r="O6" s="165">
        <f>N6*18/100</f>
        <v>421200</v>
      </c>
      <c r="P6" s="165"/>
      <c r="Q6" s="165">
        <f>M6-N6-O6</f>
        <v>1478848</v>
      </c>
      <c r="R6" s="167">
        <f t="shared" si="1"/>
        <v>-420048</v>
      </c>
      <c r="S6" s="167">
        <f t="shared" ref="S6:S23" si="4">H6-J6-M6</f>
        <v>0</v>
      </c>
    </row>
    <row r="7" spans="1:23" x14ac:dyDescent="0.2">
      <c r="A7" s="163">
        <v>3</v>
      </c>
      <c r="B7" s="163">
        <v>105</v>
      </c>
      <c r="C7" s="150" t="s">
        <v>144</v>
      </c>
      <c r="D7" s="163" t="s">
        <v>143</v>
      </c>
      <c r="E7" s="163" t="s">
        <v>163</v>
      </c>
      <c r="F7" s="163"/>
      <c r="G7" s="163">
        <v>7100000</v>
      </c>
      <c r="H7" s="163">
        <f>1225000+2825000+850000+850000+400000+554261</f>
        <v>6704261</v>
      </c>
      <c r="I7" s="165">
        <f t="shared" si="2"/>
        <v>4260000</v>
      </c>
      <c r="J7" s="165">
        <f>25000+200000+200000+200000+200000+300000+100000+2825000</f>
        <v>4050000</v>
      </c>
      <c r="K7" s="165">
        <f t="shared" si="3"/>
        <v>210000</v>
      </c>
      <c r="L7" s="166">
        <f t="shared" si="0"/>
        <v>2840000</v>
      </c>
      <c r="M7" s="163">
        <f>1700000+400000+554261</f>
        <v>2654261</v>
      </c>
      <c r="N7" s="165">
        <v>2430000</v>
      </c>
      <c r="O7" s="165">
        <f>N7*18/100</f>
        <v>437400</v>
      </c>
      <c r="P7" s="165"/>
      <c r="Q7" s="165">
        <f>M7-N7-O7</f>
        <v>-213139</v>
      </c>
      <c r="R7" s="167">
        <f t="shared" si="1"/>
        <v>395739</v>
      </c>
      <c r="S7" s="167">
        <f t="shared" si="4"/>
        <v>0</v>
      </c>
      <c r="T7" s="167"/>
    </row>
    <row r="8" spans="1:23" x14ac:dyDescent="0.2">
      <c r="A8" s="162">
        <v>4</v>
      </c>
      <c r="B8" s="163">
        <v>107</v>
      </c>
      <c r="C8" s="150" t="s">
        <v>144</v>
      </c>
      <c r="D8" s="162" t="s">
        <v>151</v>
      </c>
      <c r="E8" s="162" t="s">
        <v>164</v>
      </c>
      <c r="F8" s="162" t="s">
        <v>109</v>
      </c>
      <c r="G8" s="162">
        <v>7800000</v>
      </c>
      <c r="H8" s="163">
        <f>1225000+3267000+936000+936000+200000+200000+50000+121500+911000+140000+210000+223494</f>
        <v>8419994</v>
      </c>
      <c r="I8" s="165">
        <f t="shared" si="2"/>
        <v>4680000</v>
      </c>
      <c r="J8" s="165">
        <f>25000+100000+100000+500000+500000+3267000</f>
        <v>4492000</v>
      </c>
      <c r="K8" s="165">
        <f t="shared" si="3"/>
        <v>188000</v>
      </c>
      <c r="L8" s="166">
        <f t="shared" si="0"/>
        <v>3120000</v>
      </c>
      <c r="M8" s="162">
        <f>2991994+936000</f>
        <v>3927994</v>
      </c>
      <c r="N8" s="165">
        <v>0</v>
      </c>
      <c r="O8" s="165">
        <f t="shared" ref="O8:O22" si="5">L8*18/100</f>
        <v>561600</v>
      </c>
      <c r="P8" s="165">
        <f>12500+9558+390+35946</f>
        <v>58394</v>
      </c>
      <c r="Q8" s="165">
        <f>L8-M8-N8+O8+P8+K8</f>
        <v>0</v>
      </c>
      <c r="R8" s="167">
        <f t="shared" si="1"/>
        <v>-619994</v>
      </c>
      <c r="S8" s="167">
        <f t="shared" si="4"/>
        <v>0</v>
      </c>
    </row>
    <row r="9" spans="1:23" ht="13.5" customHeight="1" x14ac:dyDescent="0.2">
      <c r="A9" s="162">
        <v>5</v>
      </c>
      <c r="B9" s="163">
        <v>109</v>
      </c>
      <c r="C9" s="150" t="s">
        <v>144</v>
      </c>
      <c r="D9" s="162" t="s">
        <v>151</v>
      </c>
      <c r="E9" s="162" t="s">
        <v>165</v>
      </c>
      <c r="F9" s="162"/>
      <c r="G9" s="162">
        <v>8500000</v>
      </c>
      <c r="H9" s="162">
        <f>1225000+500000+3215000+1020000+1020000+100000+300000+500000+1000000</f>
        <v>8880000</v>
      </c>
      <c r="I9" s="165">
        <f t="shared" si="2"/>
        <v>5100000</v>
      </c>
      <c r="J9" s="165">
        <f>225000+800000+200000+500000+3215000</f>
        <v>4940000</v>
      </c>
      <c r="K9" s="165">
        <f t="shared" si="3"/>
        <v>160000</v>
      </c>
      <c r="L9" s="166">
        <f t="shared" si="0"/>
        <v>3400000</v>
      </c>
      <c r="M9" s="162">
        <f>1020000+1020000+100000+500000+300000+1000000</f>
        <v>3940000</v>
      </c>
      <c r="N9" s="165">
        <v>2400000</v>
      </c>
      <c r="O9" s="165">
        <f>N9*18/100</f>
        <v>432000</v>
      </c>
      <c r="P9" s="165"/>
      <c r="Q9" s="165">
        <f>M9-N9-O9</f>
        <v>1108000</v>
      </c>
      <c r="R9" s="167">
        <f t="shared" si="1"/>
        <v>-380000</v>
      </c>
      <c r="S9" s="167">
        <f t="shared" si="4"/>
        <v>0</v>
      </c>
    </row>
    <row r="10" spans="1:23" x14ac:dyDescent="0.2">
      <c r="A10" s="162">
        <v>6</v>
      </c>
      <c r="B10" s="163">
        <v>111</v>
      </c>
      <c r="C10" s="150" t="s">
        <v>144</v>
      </c>
      <c r="D10" s="162" t="s">
        <v>151</v>
      </c>
      <c r="E10" s="162" t="s">
        <v>166</v>
      </c>
      <c r="F10" s="162"/>
      <c r="G10" s="162">
        <v>8800000</v>
      </c>
      <c r="H10" s="162">
        <f>225000+1000000+1500000+1000000+1407000+1056000+1056000+2212048</f>
        <v>9456048</v>
      </c>
      <c r="I10" s="165">
        <f t="shared" si="2"/>
        <v>5280000</v>
      </c>
      <c r="J10" s="165">
        <f>225000+1000000+1500000+1407000+1000000+1056000</f>
        <v>6188000</v>
      </c>
      <c r="K10" s="165">
        <f t="shared" si="3"/>
        <v>-908000</v>
      </c>
      <c r="L10" s="166">
        <f t="shared" si="0"/>
        <v>3520000</v>
      </c>
      <c r="M10" s="162">
        <f>1056000+2212048</f>
        <v>3268048</v>
      </c>
      <c r="N10" s="165">
        <v>2490000</v>
      </c>
      <c r="O10" s="165">
        <f>N10*18/100</f>
        <v>448200</v>
      </c>
      <c r="P10" s="165"/>
      <c r="Q10" s="165">
        <f>M10-N10-O10</f>
        <v>329848</v>
      </c>
      <c r="R10" s="167">
        <f t="shared" si="1"/>
        <v>-656048</v>
      </c>
      <c r="S10" s="167">
        <f t="shared" si="4"/>
        <v>0</v>
      </c>
    </row>
    <row r="11" spans="1:23" ht="13.5" customHeight="1" x14ac:dyDescent="0.2">
      <c r="A11" s="162">
        <v>7</v>
      </c>
      <c r="B11" s="163">
        <v>113</v>
      </c>
      <c r="C11" s="150" t="s">
        <v>144</v>
      </c>
      <c r="D11" s="162" t="s">
        <v>149</v>
      </c>
      <c r="E11" s="164" t="s">
        <v>167</v>
      </c>
      <c r="F11" s="164"/>
      <c r="G11" s="162">
        <v>10900000</v>
      </c>
      <c r="H11" s="162">
        <f>1225000+1000000+1000000+100</f>
        <v>3225100</v>
      </c>
      <c r="I11" s="165">
        <f t="shared" si="2"/>
        <v>6540000</v>
      </c>
      <c r="J11" s="165">
        <f>225000+1000000+1000000+100+1000000</f>
        <v>3225100</v>
      </c>
      <c r="K11" s="165">
        <f t="shared" si="3"/>
        <v>3314900</v>
      </c>
      <c r="L11" s="166">
        <f t="shared" si="0"/>
        <v>4360000</v>
      </c>
      <c r="M11" s="162"/>
      <c r="N11" s="165">
        <v>3420000</v>
      </c>
      <c r="O11" s="165">
        <f>N11*18/100</f>
        <v>615600</v>
      </c>
      <c r="P11" s="165"/>
      <c r="Q11" s="165">
        <f>M11-N11-O11</f>
        <v>-4035600</v>
      </c>
      <c r="R11" s="167">
        <f t="shared" si="1"/>
        <v>7674900</v>
      </c>
      <c r="S11" s="167">
        <f t="shared" si="4"/>
        <v>0</v>
      </c>
    </row>
    <row r="12" spans="1:23" x14ac:dyDescent="0.2">
      <c r="A12" s="162">
        <v>8</v>
      </c>
      <c r="B12" s="163">
        <v>115</v>
      </c>
      <c r="C12" s="150" t="s">
        <v>144</v>
      </c>
      <c r="D12" s="162" t="s">
        <v>148</v>
      </c>
      <c r="E12" s="162" t="s">
        <v>168</v>
      </c>
      <c r="F12" s="162" t="s">
        <v>109</v>
      </c>
      <c r="G12" s="162">
        <v>9110000</v>
      </c>
      <c r="H12" s="162">
        <f>7517000+655920+1593000+104936</f>
        <v>9870856</v>
      </c>
      <c r="I12" s="165">
        <f t="shared" si="2"/>
        <v>5466000</v>
      </c>
      <c r="J12" s="165">
        <f>25000+200000+1000000+2000000+2106000</f>
        <v>5331000</v>
      </c>
      <c r="K12" s="165">
        <f t="shared" si="3"/>
        <v>135000</v>
      </c>
      <c r="L12" s="166">
        <f t="shared" si="0"/>
        <v>3644000</v>
      </c>
      <c r="M12" s="162">
        <f>1093000+655920+1593000+104936+1770+1093000</f>
        <v>4541626</v>
      </c>
      <c r="N12" s="165">
        <v>0</v>
      </c>
      <c r="O12" s="165">
        <f>L12*18/100</f>
        <v>655920</v>
      </c>
      <c r="P12" s="165">
        <f>12500+9558+390+69905+12583+1770</f>
        <v>106706</v>
      </c>
      <c r="Q12" s="165">
        <f>L12-M12-N12+O12+P12+K12</f>
        <v>0</v>
      </c>
      <c r="R12" s="167">
        <f t="shared" si="1"/>
        <v>-760856</v>
      </c>
      <c r="S12" s="167">
        <f>H12-J12-M12+1770</f>
        <v>0</v>
      </c>
    </row>
    <row r="13" spans="1:23" x14ac:dyDescent="0.2">
      <c r="A13" s="162">
        <v>9</v>
      </c>
      <c r="B13" s="163">
        <v>117</v>
      </c>
      <c r="C13" s="150" t="s">
        <v>144</v>
      </c>
      <c r="D13" s="162" t="s">
        <v>145</v>
      </c>
      <c r="E13" s="162" t="s">
        <v>169</v>
      </c>
      <c r="F13" s="162" t="s">
        <v>109</v>
      </c>
      <c r="G13" s="162">
        <v>8300000</v>
      </c>
      <c r="H13" s="163">
        <v>8919994</v>
      </c>
      <c r="I13" s="165">
        <f t="shared" si="2"/>
        <v>4980000</v>
      </c>
      <c r="J13" s="165">
        <f>25000+200000+1000000+3587000</f>
        <v>4812000</v>
      </c>
      <c r="K13" s="165">
        <f t="shared" si="3"/>
        <v>168000</v>
      </c>
      <c r="L13" s="166">
        <f t="shared" si="0"/>
        <v>3320000</v>
      </c>
      <c r="M13" s="162">
        <f>996000+1741472+374522+996000</f>
        <v>4107994</v>
      </c>
      <c r="N13" s="165">
        <v>0</v>
      </c>
      <c r="O13" s="165">
        <f t="shared" si="5"/>
        <v>597600</v>
      </c>
      <c r="P13" s="165">
        <f>12500+9558+390+3187+17704</f>
        <v>43339</v>
      </c>
      <c r="Q13" s="165">
        <f>L13-M13-N13+O13+P13+K13</f>
        <v>20945</v>
      </c>
      <c r="R13" s="167">
        <f t="shared" si="1"/>
        <v>-619994</v>
      </c>
      <c r="S13" s="167">
        <f t="shared" si="4"/>
        <v>0</v>
      </c>
    </row>
    <row r="14" spans="1:23" x14ac:dyDescent="0.2">
      <c r="A14" s="162">
        <v>10</v>
      </c>
      <c r="B14" s="163">
        <v>119</v>
      </c>
      <c r="C14" s="150" t="s">
        <v>144</v>
      </c>
      <c r="D14" s="162" t="s">
        <v>152</v>
      </c>
      <c r="E14" s="162" t="s">
        <v>170</v>
      </c>
      <c r="F14" s="162"/>
      <c r="G14" s="162">
        <v>9925000</v>
      </c>
      <c r="H14" s="163">
        <f>200000+25000+1000000+800000+450000+500000+500000+500000+900000</f>
        <v>4875000</v>
      </c>
      <c r="I14" s="165">
        <f t="shared" si="2"/>
        <v>5955000</v>
      </c>
      <c r="J14" s="165">
        <f>200000+25000+1000000+800000+450000+500000+500000+500000+900000</f>
        <v>4875000</v>
      </c>
      <c r="K14" s="165">
        <f t="shared" si="3"/>
        <v>1080000</v>
      </c>
      <c r="L14" s="166">
        <f t="shared" si="0"/>
        <v>3970000</v>
      </c>
      <c r="M14" s="162">
        <v>0</v>
      </c>
      <c r="N14" s="165">
        <v>0</v>
      </c>
      <c r="O14" s="165"/>
      <c r="P14" s="165">
        <v>3599</v>
      </c>
      <c r="Q14" s="165">
        <f>M14-N14-O14-P14</f>
        <v>-3599</v>
      </c>
      <c r="R14" s="167">
        <f t="shared" si="1"/>
        <v>5050000</v>
      </c>
      <c r="S14" s="167">
        <f t="shared" si="4"/>
        <v>0</v>
      </c>
    </row>
    <row r="15" spans="1:23" ht="14.25" customHeight="1" x14ac:dyDescent="0.2">
      <c r="A15" s="162">
        <v>11</v>
      </c>
      <c r="B15" s="163">
        <v>121</v>
      </c>
      <c r="C15" s="150" t="s">
        <v>144</v>
      </c>
      <c r="D15" s="162" t="s">
        <v>148</v>
      </c>
      <c r="E15" s="162" t="s">
        <v>171</v>
      </c>
      <c r="F15" s="162"/>
      <c r="G15" s="162">
        <v>9100000</v>
      </c>
      <c r="H15" s="163">
        <f>1225000+2000000+2099000+1092000+1092000+655200+675000+700000+195462</f>
        <v>9733662</v>
      </c>
      <c r="I15" s="165">
        <f t="shared" si="2"/>
        <v>5460000</v>
      </c>
      <c r="J15" s="165">
        <f>25000+200000+1000000+2000000+2099000</f>
        <v>5324000</v>
      </c>
      <c r="K15" s="165">
        <f t="shared" si="3"/>
        <v>136000</v>
      </c>
      <c r="L15" s="166">
        <f t="shared" si="0"/>
        <v>3640000</v>
      </c>
      <c r="M15" s="162">
        <f>2184000+700000+675000+655200+195462</f>
        <v>4409662</v>
      </c>
      <c r="N15" s="165">
        <v>2580000</v>
      </c>
      <c r="O15" s="165">
        <f>N15*18/100</f>
        <v>464400</v>
      </c>
      <c r="P15" s="165">
        <v>9558</v>
      </c>
      <c r="Q15" s="165">
        <f>M15-N15-O15-P15</f>
        <v>1355704</v>
      </c>
      <c r="R15" s="167">
        <f t="shared" si="1"/>
        <v>-633662</v>
      </c>
      <c r="S15" s="167">
        <f t="shared" si="4"/>
        <v>0</v>
      </c>
    </row>
    <row r="16" spans="1:23" x14ac:dyDescent="0.2">
      <c r="A16" s="163">
        <v>12</v>
      </c>
      <c r="B16" s="163">
        <v>123</v>
      </c>
      <c r="C16" s="150" t="s">
        <v>144</v>
      </c>
      <c r="D16" s="163" t="s">
        <v>148</v>
      </c>
      <c r="E16" s="163" t="s">
        <v>172</v>
      </c>
      <c r="F16" s="163" t="s">
        <v>109</v>
      </c>
      <c r="G16" s="163">
        <v>8850000</v>
      </c>
      <c r="H16" s="163">
        <v>9458220</v>
      </c>
      <c r="I16" s="165">
        <f t="shared" si="2"/>
        <v>5310000</v>
      </c>
      <c r="J16" s="165">
        <f>225000+500000+4439000</f>
        <v>5164000</v>
      </c>
      <c r="K16" s="165">
        <f t="shared" si="3"/>
        <v>146000</v>
      </c>
      <c r="L16" s="166">
        <f t="shared" si="0"/>
        <v>3540000</v>
      </c>
      <c r="M16" s="163">
        <f>1062000+350000+200000+200000+400000+1062000+637200+217357+165663</f>
        <v>4294220</v>
      </c>
      <c r="N16" s="166">
        <f>L16</f>
        <v>3540000</v>
      </c>
      <c r="O16" s="165">
        <f t="shared" si="5"/>
        <v>637200</v>
      </c>
      <c r="P16" s="165">
        <f>12500+9558+390-51374</f>
        <v>-28926</v>
      </c>
      <c r="Q16" s="165">
        <f>M16-N16-O16-P16-K16</f>
        <v>-54</v>
      </c>
      <c r="R16" s="167">
        <f t="shared" si="1"/>
        <v>-608220</v>
      </c>
      <c r="S16" s="167">
        <f t="shared" si="4"/>
        <v>0</v>
      </c>
    </row>
    <row r="17" spans="1:19" x14ac:dyDescent="0.2">
      <c r="A17" s="162">
        <v>13</v>
      </c>
      <c r="B17" s="163">
        <v>125</v>
      </c>
      <c r="C17" s="150" t="s">
        <v>144</v>
      </c>
      <c r="D17" s="162" t="s">
        <v>153</v>
      </c>
      <c r="E17" s="162" t="s">
        <v>173</v>
      </c>
      <c r="F17" s="162" t="s">
        <v>109</v>
      </c>
      <c r="G17" s="164">
        <v>8850000</v>
      </c>
      <c r="H17" s="163">
        <v>9453235</v>
      </c>
      <c r="I17" s="165">
        <f t="shared" si="2"/>
        <v>5310000</v>
      </c>
      <c r="J17" s="165">
        <f>225000+500000+4439000</f>
        <v>5164000</v>
      </c>
      <c r="K17" s="165">
        <f t="shared" si="3"/>
        <v>146000</v>
      </c>
      <c r="L17" s="166">
        <f t="shared" si="0"/>
        <v>3540000</v>
      </c>
      <c r="M17" s="162">
        <f>400000+400000+638200+219842+155000+2193+2474000</f>
        <v>4289235</v>
      </c>
      <c r="N17" s="166">
        <f>L17</f>
        <v>3540000</v>
      </c>
      <c r="O17" s="165">
        <f t="shared" si="5"/>
        <v>637200</v>
      </c>
      <c r="P17" s="165">
        <f>12500+9558+390+590-56413</f>
        <v>-33375</v>
      </c>
      <c r="Q17" s="165">
        <f>M17-N17-O17-P17-K17</f>
        <v>-590</v>
      </c>
      <c r="R17" s="167">
        <f t="shared" si="1"/>
        <v>-603235</v>
      </c>
      <c r="S17" s="167">
        <f t="shared" si="4"/>
        <v>0</v>
      </c>
    </row>
    <row r="18" spans="1:19" ht="13.5" customHeight="1" x14ac:dyDescent="0.2">
      <c r="A18" s="162">
        <v>14</v>
      </c>
      <c r="B18" s="163">
        <v>127</v>
      </c>
      <c r="C18" s="150" t="s">
        <v>144</v>
      </c>
      <c r="D18" s="162" t="s">
        <v>150</v>
      </c>
      <c r="E18" s="162" t="s">
        <v>174</v>
      </c>
      <c r="F18" s="162" t="s">
        <v>109</v>
      </c>
      <c r="G18" s="164">
        <v>8200000</v>
      </c>
      <c r="H18" s="162">
        <v>8828176</v>
      </c>
      <c r="I18" s="165">
        <f t="shared" si="2"/>
        <v>4920000</v>
      </c>
      <c r="J18" s="165">
        <f>25000+200000+200000+50000+150000+4123000+50000</f>
        <v>4798000</v>
      </c>
      <c r="K18" s="165">
        <f t="shared" si="3"/>
        <v>122000</v>
      </c>
      <c r="L18" s="166">
        <f t="shared" si="0"/>
        <v>3280000</v>
      </c>
      <c r="M18" s="162">
        <f>784000+200000+1230300+606600+200000+25276+984000</f>
        <v>4030176</v>
      </c>
      <c r="N18" s="166">
        <f>L18</f>
        <v>3280000</v>
      </c>
      <c r="O18" s="165">
        <f t="shared" si="5"/>
        <v>590400</v>
      </c>
      <c r="P18" s="165">
        <f>12500+9558+390+13036+2346</f>
        <v>37830</v>
      </c>
      <c r="Q18" s="165">
        <f t="shared" ref="Q18" si="6">M18-N18-O18-P18-K18</f>
        <v>-54</v>
      </c>
      <c r="R18" s="167">
        <f t="shared" si="1"/>
        <v>-628176</v>
      </c>
      <c r="S18" s="167">
        <f t="shared" si="4"/>
        <v>0</v>
      </c>
    </row>
    <row r="19" spans="1:19" ht="15" customHeight="1" x14ac:dyDescent="0.2">
      <c r="A19" s="162">
        <v>15</v>
      </c>
      <c r="B19" s="163">
        <v>130</v>
      </c>
      <c r="C19" s="150" t="s">
        <v>144</v>
      </c>
      <c r="D19" s="162" t="s">
        <v>150</v>
      </c>
      <c r="E19" s="162" t="s">
        <v>175</v>
      </c>
      <c r="F19" s="162" t="s">
        <v>109</v>
      </c>
      <c r="G19" s="164">
        <v>8300000</v>
      </c>
      <c r="H19" s="163">
        <v>8929645</v>
      </c>
      <c r="I19" s="165">
        <f t="shared" si="2"/>
        <v>4980000</v>
      </c>
      <c r="J19" s="165">
        <f>25000+200000+1000000+475000+3087000</f>
        <v>4787000</v>
      </c>
      <c r="K19" s="165">
        <f t="shared" si="3"/>
        <v>193000</v>
      </c>
      <c r="L19" s="166">
        <f t="shared" si="0"/>
        <v>3320000</v>
      </c>
      <c r="M19" s="163">
        <f>597600+561000+760000+200000+32045+1992000</f>
        <v>4142645</v>
      </c>
      <c r="N19" s="165">
        <f>L19</f>
        <v>3320000</v>
      </c>
      <c r="O19" s="165">
        <f t="shared" si="5"/>
        <v>597600</v>
      </c>
      <c r="P19" s="165">
        <f>12500+9558+390+1464+8133+K19</f>
        <v>225045</v>
      </c>
      <c r="Q19" s="165">
        <f>M19-N19-O19-P19</f>
        <v>0</v>
      </c>
      <c r="R19" s="167">
        <f t="shared" si="1"/>
        <v>-629645</v>
      </c>
      <c r="S19" s="167">
        <f t="shared" si="4"/>
        <v>0</v>
      </c>
    </row>
    <row r="20" spans="1:19" ht="16.5" customHeight="1" x14ac:dyDescent="0.2">
      <c r="A20" s="162">
        <v>16</v>
      </c>
      <c r="B20" s="163">
        <v>132</v>
      </c>
      <c r="C20" s="150" t="s">
        <v>144</v>
      </c>
      <c r="D20" s="162" t="s">
        <v>150</v>
      </c>
      <c r="E20" s="162" t="s">
        <v>176</v>
      </c>
      <c r="F20" s="162" t="s">
        <v>240</v>
      </c>
      <c r="G20" s="164">
        <v>8300000</v>
      </c>
      <c r="H20" s="163">
        <v>8951775</v>
      </c>
      <c r="I20" s="165">
        <f t="shared" si="2"/>
        <v>4980000</v>
      </c>
      <c r="J20" s="165">
        <f>25000+200000+500000+500000+3587000</f>
        <v>4812000</v>
      </c>
      <c r="K20" s="165">
        <f t="shared" si="3"/>
        <v>168000</v>
      </c>
      <c r="L20" s="166">
        <f t="shared" si="0"/>
        <v>3320000</v>
      </c>
      <c r="M20" s="162">
        <f>996000+1743495+104835+26845+1268600</f>
        <v>4139775</v>
      </c>
      <c r="N20" s="165">
        <f>L20</f>
        <v>3320000</v>
      </c>
      <c r="O20" s="165">
        <f t="shared" si="5"/>
        <v>597600</v>
      </c>
      <c r="P20" s="165">
        <f>12500+9558+390+4832+26842+K20</f>
        <v>222122</v>
      </c>
      <c r="Q20" s="165">
        <f>M20-N20-O20-P20</f>
        <v>53</v>
      </c>
      <c r="R20" s="167">
        <f t="shared" si="1"/>
        <v>-651775</v>
      </c>
      <c r="S20" s="167">
        <f t="shared" si="4"/>
        <v>0</v>
      </c>
    </row>
    <row r="21" spans="1:19" ht="13.5" customHeight="1" x14ac:dyDescent="0.2">
      <c r="A21" s="162">
        <v>17</v>
      </c>
      <c r="B21" s="163">
        <v>136</v>
      </c>
      <c r="C21" s="150" t="s">
        <v>147</v>
      </c>
      <c r="D21" s="169" t="s">
        <v>146</v>
      </c>
      <c r="E21" s="163"/>
      <c r="F21" s="163"/>
      <c r="G21" s="164">
        <v>0</v>
      </c>
      <c r="H21" s="163">
        <v>0</v>
      </c>
      <c r="I21" s="165">
        <f t="shared" si="2"/>
        <v>0</v>
      </c>
      <c r="J21" s="165">
        <v>0</v>
      </c>
      <c r="K21" s="165">
        <v>0</v>
      </c>
      <c r="L21" s="166">
        <v>0</v>
      </c>
      <c r="M21" s="162">
        <v>0</v>
      </c>
      <c r="N21" s="165">
        <v>0</v>
      </c>
      <c r="O21" s="165">
        <f t="shared" si="5"/>
        <v>0</v>
      </c>
      <c r="P21" s="165"/>
      <c r="Q21" s="165">
        <v>0</v>
      </c>
      <c r="R21" s="167">
        <f t="shared" si="1"/>
        <v>0</v>
      </c>
      <c r="S21" s="167">
        <f t="shared" si="4"/>
        <v>0</v>
      </c>
    </row>
    <row r="22" spans="1:19" x14ac:dyDescent="0.2">
      <c r="A22" s="162">
        <v>18</v>
      </c>
      <c r="B22" s="163">
        <v>134</v>
      </c>
      <c r="C22" s="150" t="s">
        <v>144</v>
      </c>
      <c r="D22" s="162" t="s">
        <v>146</v>
      </c>
      <c r="E22" s="162" t="s">
        <v>177</v>
      </c>
      <c r="F22" s="162" t="s">
        <v>109</v>
      </c>
      <c r="G22" s="164">
        <v>8700000</v>
      </c>
      <c r="H22" s="163">
        <v>9382009</v>
      </c>
      <c r="I22" s="165">
        <f t="shared" si="2"/>
        <v>5220000</v>
      </c>
      <c r="J22" s="165">
        <f>225000+1000000+348000+950000+645000+950000+950000</f>
        <v>5068000</v>
      </c>
      <c r="K22" s="165">
        <f t="shared" si="3"/>
        <v>152000</v>
      </c>
      <c r="L22" s="166">
        <f>G22*40/100</f>
        <v>3480000</v>
      </c>
      <c r="M22" s="162">
        <f>1446480+444000+900000+446368+33161+1044000</f>
        <v>4314009</v>
      </c>
      <c r="N22" s="165"/>
      <c r="O22" s="165">
        <f t="shared" si="5"/>
        <v>626400</v>
      </c>
      <c r="P22" s="165">
        <f>12500+9558+390+28103+5058+K22</f>
        <v>207609</v>
      </c>
      <c r="Q22" s="165">
        <f t="shared" ref="Q22" si="7">L22-M22-N22+O22+P22</f>
        <v>0</v>
      </c>
      <c r="R22" s="167">
        <f t="shared" si="1"/>
        <v>-682009</v>
      </c>
      <c r="S22" s="167">
        <f t="shared" si="4"/>
        <v>0</v>
      </c>
    </row>
    <row r="23" spans="1:19" x14ac:dyDescent="0.2">
      <c r="A23" s="162">
        <v>19</v>
      </c>
      <c r="B23" s="163">
        <v>138</v>
      </c>
      <c r="C23" s="150" t="s">
        <v>144</v>
      </c>
      <c r="D23" s="162" t="s">
        <v>155</v>
      </c>
      <c r="E23" s="162" t="s">
        <v>178</v>
      </c>
      <c r="F23" s="162"/>
      <c r="G23" s="164">
        <v>9000000</v>
      </c>
      <c r="H23" s="163">
        <f>1225000+360000+900000+900000+900000+975000+1080000+1080000+420000+648000</f>
        <v>8488000</v>
      </c>
      <c r="I23" s="165">
        <f t="shared" si="2"/>
        <v>5400000</v>
      </c>
      <c r="J23" s="165">
        <f>25000+200000+1000000+900000+900000+900000+975000</f>
        <v>4900000</v>
      </c>
      <c r="K23" s="165">
        <f t="shared" si="3"/>
        <v>500000</v>
      </c>
      <c r="L23" s="166">
        <f>G23*40/100</f>
        <v>3600000</v>
      </c>
      <c r="M23" s="162">
        <f>1440000+1068000+1080000</f>
        <v>3588000</v>
      </c>
      <c r="N23" s="165">
        <v>1700000</v>
      </c>
      <c r="O23" s="165">
        <f>N23*18/100</f>
        <v>306000</v>
      </c>
      <c r="P23" s="165"/>
      <c r="Q23" s="165">
        <f>M23-N23-O23-P23</f>
        <v>1582000</v>
      </c>
      <c r="R23" s="167">
        <f t="shared" si="1"/>
        <v>512000</v>
      </c>
      <c r="S23" s="167">
        <f t="shared" si="4"/>
        <v>0</v>
      </c>
    </row>
    <row r="24" spans="1:19" x14ac:dyDescent="0.2">
      <c r="A24" s="162">
        <v>20</v>
      </c>
      <c r="B24" s="163">
        <v>140</v>
      </c>
      <c r="C24" s="150" t="s">
        <v>144</v>
      </c>
      <c r="D24" s="162" t="s">
        <v>155</v>
      </c>
      <c r="E24" s="162" t="s">
        <v>235</v>
      </c>
      <c r="F24" s="162"/>
      <c r="G24" s="174">
        <v>12900000</v>
      </c>
      <c r="H24" s="162">
        <v>225000</v>
      </c>
      <c r="I24" s="165">
        <f t="shared" si="2"/>
        <v>7740000</v>
      </c>
      <c r="J24" s="106">
        <v>225000</v>
      </c>
      <c r="K24" s="165">
        <f t="shared" si="3"/>
        <v>7515000</v>
      </c>
      <c r="L24" s="166">
        <f>G24*40/100</f>
        <v>5160000</v>
      </c>
      <c r="M24" s="162"/>
      <c r="N24" s="165"/>
      <c r="O24" s="165"/>
      <c r="P24" s="165"/>
      <c r="Q24" s="165">
        <f>M24-N24-O24</f>
        <v>0</v>
      </c>
      <c r="S24" s="167">
        <f>H24-J24-M24</f>
        <v>0</v>
      </c>
    </row>
    <row r="25" spans="1:19" ht="12.75" thickBot="1" x14ac:dyDescent="0.25">
      <c r="A25" s="162"/>
      <c r="B25" s="162"/>
      <c r="C25" s="162"/>
      <c r="D25" s="162"/>
      <c r="E25" s="170" t="s">
        <v>44</v>
      </c>
      <c r="F25" s="170"/>
      <c r="G25" s="171">
        <f>SUM(G5:G24)</f>
        <v>169355000</v>
      </c>
      <c r="H25" s="171">
        <f t="shared" ref="H25:R25" si="8">SUM(H5:H24)</f>
        <v>151576294</v>
      </c>
      <c r="I25" s="172">
        <f t="shared" si="8"/>
        <v>101613000</v>
      </c>
      <c r="J25" s="172">
        <f t="shared" si="8"/>
        <v>90596100</v>
      </c>
      <c r="K25" s="172">
        <f t="shared" si="8"/>
        <v>11016900</v>
      </c>
      <c r="L25" s="172">
        <f t="shared" si="8"/>
        <v>67742000</v>
      </c>
      <c r="M25" s="172">
        <f t="shared" si="8"/>
        <v>60981964</v>
      </c>
      <c r="N25" s="172">
        <f t="shared" si="8"/>
        <v>37728000</v>
      </c>
      <c r="O25" s="172">
        <f t="shared" si="8"/>
        <v>9233564</v>
      </c>
      <c r="P25" s="172">
        <f t="shared" si="8"/>
        <v>879928</v>
      </c>
      <c r="Q25" s="172"/>
      <c r="R25" s="167">
        <f t="shared" si="8"/>
        <v>5103706</v>
      </c>
    </row>
    <row r="26" spans="1:19" ht="12.75" thickTop="1" x14ac:dyDescent="0.2">
      <c r="A26" s="149"/>
      <c r="B26" s="149"/>
      <c r="C26" s="149"/>
      <c r="D26" s="149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</sheetData>
  <pageMargins left="0.31496062992125984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J1" sqref="J1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0">
        <f t="shared" ref="H5:H14" si="0">F5*60/100</f>
        <v>5466000</v>
      </c>
      <c r="I5" s="100">
        <f>25000+200000+1000000+2000000+2106000</f>
        <v>5331000</v>
      </c>
      <c r="J5" s="100">
        <f t="shared" ref="J5:J14" si="1">H5-I5</f>
        <v>135000</v>
      </c>
      <c r="K5" s="101">
        <f t="shared" ref="K5:K10" si="2">F5*40/100</f>
        <v>3644000</v>
      </c>
      <c r="L5" s="98">
        <f>1093000+655920+1593000</f>
        <v>3341920</v>
      </c>
      <c r="M5" s="100">
        <v>1093000</v>
      </c>
      <c r="N5" s="100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0">
        <f t="shared" si="0"/>
        <v>5460000</v>
      </c>
      <c r="I6" s="100">
        <f>25000+200000+1000000+2000000+2099000</f>
        <v>5324000</v>
      </c>
      <c r="J6" s="100">
        <f t="shared" si="1"/>
        <v>136000</v>
      </c>
      <c r="K6" s="101">
        <f t="shared" si="2"/>
        <v>3640000</v>
      </c>
      <c r="L6" s="98">
        <v>2184000</v>
      </c>
      <c r="M6" s="100">
        <v>0</v>
      </c>
      <c r="N6" s="100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0">
        <f t="shared" si="0"/>
        <v>5310000</v>
      </c>
      <c r="I7" s="100">
        <f>225000+500000+500000+4439000</f>
        <v>5664000</v>
      </c>
      <c r="J7" s="100">
        <f t="shared" si="1"/>
        <v>-354000</v>
      </c>
      <c r="K7" s="101">
        <f t="shared" si="2"/>
        <v>3540000</v>
      </c>
      <c r="L7" s="99">
        <f>400000+1462000</f>
        <v>1862000</v>
      </c>
      <c r="M7" s="100">
        <v>1412000</v>
      </c>
      <c r="N7" s="100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0">
        <f t="shared" si="0"/>
        <v>4920000</v>
      </c>
      <c r="I8" s="100">
        <f>25000+200000+200000+50000+150000+4123000</f>
        <v>4748000</v>
      </c>
      <c r="J8" s="100">
        <f t="shared" si="1"/>
        <v>172000</v>
      </c>
      <c r="K8" s="101">
        <f t="shared" si="2"/>
        <v>3280000</v>
      </c>
      <c r="L8" s="98">
        <f>984000+1230300</f>
        <v>2214300</v>
      </c>
      <c r="M8" s="100">
        <v>984000</v>
      </c>
      <c r="N8" s="100">
        <f t="shared" si="3"/>
        <v>81700</v>
      </c>
      <c r="O8" s="83">
        <f t="shared" si="4"/>
        <v>253700</v>
      </c>
    </row>
    <row r="9" spans="1:21" s="135" customFormat="1" ht="26.25" x14ac:dyDescent="0.25">
      <c r="A9" s="102">
        <v>5</v>
      </c>
      <c r="B9" s="102">
        <v>130</v>
      </c>
      <c r="C9" s="134" t="s">
        <v>144</v>
      </c>
      <c r="D9" s="102" t="s">
        <v>150</v>
      </c>
      <c r="E9" s="102" t="s">
        <v>175</v>
      </c>
      <c r="F9" s="102">
        <v>8300000</v>
      </c>
      <c r="G9" s="102">
        <v>8897600</v>
      </c>
      <c r="H9" s="103">
        <f t="shared" si="0"/>
        <v>4980000</v>
      </c>
      <c r="I9" s="103">
        <f>25000+200000+1000000+475000+3087000</f>
        <v>4787000</v>
      </c>
      <c r="J9" s="103">
        <f t="shared" si="1"/>
        <v>193000</v>
      </c>
      <c r="K9" s="104">
        <f t="shared" si="2"/>
        <v>3320000</v>
      </c>
      <c r="L9" s="102">
        <f>1918600+233045</f>
        <v>2151645</v>
      </c>
      <c r="M9" s="103">
        <v>1992000</v>
      </c>
      <c r="N9" s="103">
        <f t="shared" si="3"/>
        <v>-823645</v>
      </c>
      <c r="O9" s="84">
        <f t="shared" si="4"/>
        <v>-597600</v>
      </c>
      <c r="P9" s="135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0">
        <f t="shared" si="0"/>
        <v>4980000</v>
      </c>
      <c r="I10" s="100">
        <f>25000+200000+500000+500000+3587000</f>
        <v>4812000</v>
      </c>
      <c r="J10" s="100">
        <f t="shared" si="1"/>
        <v>168000</v>
      </c>
      <c r="K10" s="101">
        <f t="shared" si="2"/>
        <v>3320000</v>
      </c>
      <c r="L10" s="98">
        <v>996000</v>
      </c>
      <c r="M10" s="100">
        <v>1268600</v>
      </c>
      <c r="N10" s="100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5" t="s">
        <v>146</v>
      </c>
      <c r="E11" s="99"/>
      <c r="F11" s="98">
        <v>0</v>
      </c>
      <c r="G11" s="99">
        <v>0</v>
      </c>
      <c r="H11" s="100">
        <f t="shared" si="0"/>
        <v>0</v>
      </c>
      <c r="I11" s="100">
        <v>0</v>
      </c>
      <c r="J11" s="100">
        <v>0</v>
      </c>
      <c r="K11" s="101">
        <v>0</v>
      </c>
      <c r="L11" s="98">
        <v>0</v>
      </c>
      <c r="M11" s="100">
        <v>0</v>
      </c>
      <c r="N11" s="100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0">
        <f t="shared" si="0"/>
        <v>5220000</v>
      </c>
      <c r="I12" s="100">
        <f>225000+225000+1000000+950000+645000+950000+950000</f>
        <v>4945000</v>
      </c>
      <c r="J12" s="100">
        <f t="shared" si="1"/>
        <v>275000</v>
      </c>
      <c r="K12" s="101">
        <f>F12*40/100</f>
        <v>3480000</v>
      </c>
      <c r="L12" s="98">
        <v>1446480</v>
      </c>
      <c r="M12" s="100">
        <v>1044000</v>
      </c>
      <c r="N12" s="100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0">
        <f t="shared" si="0"/>
        <v>5400000</v>
      </c>
      <c r="I13" s="100">
        <f>25000+200000+1000000+1000000+900000+900000+900000+975000</f>
        <v>5900000</v>
      </c>
      <c r="J13" s="100">
        <f t="shared" si="1"/>
        <v>-500000</v>
      </c>
      <c r="K13" s="101">
        <f>F13*40/100</f>
        <v>3600000</v>
      </c>
      <c r="L13" s="98">
        <v>0</v>
      </c>
      <c r="M13" s="100">
        <v>1440000</v>
      </c>
      <c r="N13" s="100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0">
        <f t="shared" si="0"/>
        <v>7740000</v>
      </c>
      <c r="I14" s="106">
        <v>25000</v>
      </c>
      <c r="J14" s="100">
        <f t="shared" si="1"/>
        <v>7715000</v>
      </c>
      <c r="K14" s="101">
        <f>F14*40/100</f>
        <v>5160000</v>
      </c>
      <c r="L14" s="98"/>
      <c r="M14" s="100"/>
      <c r="N14" s="100">
        <f>K14-L14-M14</f>
        <v>5160000</v>
      </c>
    </row>
    <row r="15" spans="1:21" ht="15.75" thickBot="1" x14ac:dyDescent="0.3">
      <c r="A15" s="98"/>
      <c r="B15" s="98"/>
      <c r="C15" s="98"/>
      <c r="D15" s="98"/>
      <c r="E15" s="109" t="s">
        <v>44</v>
      </c>
      <c r="F15" s="110">
        <f t="shared" ref="F15:O15" si="5">SUM(F5:F14)</f>
        <v>82460000</v>
      </c>
      <c r="G15" s="110">
        <f t="shared" si="5"/>
        <v>64432900</v>
      </c>
      <c r="H15" s="111">
        <f t="shared" si="5"/>
        <v>49476000</v>
      </c>
      <c r="I15" s="111">
        <f t="shared" si="5"/>
        <v>41536000</v>
      </c>
      <c r="J15" s="111">
        <f t="shared" si="5"/>
        <v>7940000</v>
      </c>
      <c r="K15" s="111">
        <f t="shared" si="5"/>
        <v>32984000</v>
      </c>
      <c r="L15" s="111">
        <f t="shared" si="5"/>
        <v>14196345</v>
      </c>
      <c r="M15" s="111">
        <f t="shared" si="5"/>
        <v>9233600</v>
      </c>
      <c r="N15" s="111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1"/>
      <c r="G18" s="90"/>
      <c r="H18" s="90"/>
      <c r="I18" s="90"/>
      <c r="J18" s="90"/>
      <c r="K18" s="90"/>
      <c r="L18" s="101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1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7"/>
      <c r="F21" s="101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1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1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L5" sqref="L5"/>
    </sheetView>
  </sheetViews>
  <sheetFormatPr defaultRowHeight="12.75" x14ac:dyDescent="0.2"/>
  <cols>
    <col min="1" max="1" width="4.7109375" style="139" customWidth="1"/>
    <col min="2" max="3" width="6.28515625" style="139" customWidth="1"/>
    <col min="4" max="4" width="21.140625" style="139" customWidth="1"/>
    <col min="5" max="5" width="27.5703125" style="139" customWidth="1"/>
    <col min="6" max="6" width="12.42578125" style="139" customWidth="1"/>
    <col min="7" max="7" width="12.28515625" style="139" customWidth="1"/>
    <col min="8" max="9" width="12" style="139" customWidth="1"/>
    <col min="10" max="10" width="12.42578125" style="139" customWidth="1"/>
    <col min="11" max="11" width="10.85546875" style="139" customWidth="1"/>
    <col min="12" max="12" width="12.42578125" style="139" customWidth="1"/>
    <col min="13" max="13" width="12.7109375" style="139" hidden="1" customWidth="1"/>
    <col min="14" max="16384" width="9.140625" style="139"/>
  </cols>
  <sheetData>
    <row r="1" spans="1:19" x14ac:dyDescent="0.2">
      <c r="A1" s="138"/>
      <c r="B1" s="138"/>
      <c r="C1" s="138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38"/>
      <c r="B2" s="138"/>
      <c r="C2" s="138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9" s="142" customFormat="1" ht="54" customHeight="1" x14ac:dyDescent="0.2">
      <c r="A4" s="140" t="s">
        <v>159</v>
      </c>
      <c r="B4" s="140" t="s">
        <v>135</v>
      </c>
      <c r="C4" s="95" t="s">
        <v>136</v>
      </c>
      <c r="D4" s="140" t="s">
        <v>134</v>
      </c>
      <c r="E4" s="140" t="s">
        <v>160</v>
      </c>
      <c r="F4" s="140" t="s">
        <v>137</v>
      </c>
      <c r="G4" s="140" t="s">
        <v>182</v>
      </c>
      <c r="H4" s="56" t="s">
        <v>139</v>
      </c>
      <c r="I4" s="136" t="s">
        <v>180</v>
      </c>
      <c r="J4" s="136" t="s">
        <v>181</v>
      </c>
      <c r="K4" s="136" t="s">
        <v>237</v>
      </c>
      <c r="L4" s="97" t="s">
        <v>238</v>
      </c>
      <c r="M4" s="141" t="s">
        <v>183</v>
      </c>
    </row>
    <row r="5" spans="1:19" x14ac:dyDescent="0.2">
      <c r="A5" s="58">
        <v>1</v>
      </c>
      <c r="B5" s="143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37">
        <f>25000+200000+1000000+2000000+2106000</f>
        <v>5331000</v>
      </c>
      <c r="I5" s="58">
        <f>1093000+655920+1593000</f>
        <v>3341920</v>
      </c>
      <c r="J5" s="137">
        <v>1093000</v>
      </c>
      <c r="K5" s="137">
        <v>309960</v>
      </c>
      <c r="L5" s="137">
        <f>F5-H5-I5-J5+K5</f>
        <v>-345960</v>
      </c>
      <c r="M5" s="144">
        <f t="shared" ref="M5:M13" si="0">F5-G5</f>
        <v>-655920</v>
      </c>
    </row>
    <row r="6" spans="1:19" x14ac:dyDescent="0.2">
      <c r="A6" s="58">
        <v>2</v>
      </c>
      <c r="B6" s="143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3">
        <v>7508000</v>
      </c>
      <c r="H6" s="137">
        <f>25000+200000+1000000+2000000+2099000</f>
        <v>5324000</v>
      </c>
      <c r="I6" s="58">
        <v>2184000</v>
      </c>
      <c r="J6" s="137">
        <v>0</v>
      </c>
      <c r="K6" s="137">
        <v>464400</v>
      </c>
      <c r="L6" s="137">
        <f t="shared" ref="L6:L14" si="1">F6-H6-I6-J6+K6</f>
        <v>2056400</v>
      </c>
      <c r="M6" s="144">
        <f t="shared" si="0"/>
        <v>1592000</v>
      </c>
    </row>
    <row r="7" spans="1:19" x14ac:dyDescent="0.2">
      <c r="A7" s="143">
        <v>3</v>
      </c>
      <c r="B7" s="143">
        <v>123</v>
      </c>
      <c r="C7" s="91" t="s">
        <v>144</v>
      </c>
      <c r="D7" s="143" t="s">
        <v>148</v>
      </c>
      <c r="E7" s="143" t="s">
        <v>172</v>
      </c>
      <c r="F7" s="143">
        <v>8850000</v>
      </c>
      <c r="G7" s="143">
        <v>8438000</v>
      </c>
      <c r="H7" s="137">
        <f>225000+500000+4439000</f>
        <v>5164000</v>
      </c>
      <c r="I7" s="143">
        <f>400000+1462000</f>
        <v>1862000</v>
      </c>
      <c r="J7" s="137">
        <f>1062000+350000</f>
        <v>1412000</v>
      </c>
      <c r="K7" s="137">
        <v>424296</v>
      </c>
      <c r="L7" s="137">
        <f t="shared" si="1"/>
        <v>836296</v>
      </c>
      <c r="M7" s="144">
        <f t="shared" si="0"/>
        <v>412000</v>
      </c>
    </row>
    <row r="8" spans="1:19" ht="25.5" x14ac:dyDescent="0.2">
      <c r="A8" s="58">
        <v>4</v>
      </c>
      <c r="B8" s="143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37">
        <f>25000+200000+200000+50000+150000+4123000</f>
        <v>4748000</v>
      </c>
      <c r="I8" s="58">
        <f>984000+1230300</f>
        <v>2214300</v>
      </c>
      <c r="J8" s="137">
        <v>984000</v>
      </c>
      <c r="K8" s="137">
        <v>277200</v>
      </c>
      <c r="L8" s="137">
        <f t="shared" si="1"/>
        <v>530900</v>
      </c>
      <c r="M8" s="144">
        <f t="shared" si="0"/>
        <v>253700</v>
      </c>
    </row>
    <row r="9" spans="1:19" ht="25.5" x14ac:dyDescent="0.2">
      <c r="A9" s="143">
        <v>5</v>
      </c>
      <c r="B9" s="143">
        <v>130</v>
      </c>
      <c r="C9" s="91" t="s">
        <v>144</v>
      </c>
      <c r="D9" s="143" t="s">
        <v>150</v>
      </c>
      <c r="E9" s="143" t="s">
        <v>175</v>
      </c>
      <c r="F9" s="143">
        <v>8300000</v>
      </c>
      <c r="G9" s="143">
        <v>8897600</v>
      </c>
      <c r="H9" s="137">
        <f>25000+200000+1000000+475000+3087000</f>
        <v>4787000</v>
      </c>
      <c r="I9" s="143">
        <f>1918600+233045+1992000</f>
        <v>4143645</v>
      </c>
      <c r="J9" s="137"/>
      <c r="K9" s="137">
        <v>421200</v>
      </c>
      <c r="L9" s="137">
        <f t="shared" si="1"/>
        <v>-209445</v>
      </c>
      <c r="M9" s="144">
        <f t="shared" si="0"/>
        <v>-597600</v>
      </c>
    </row>
    <row r="10" spans="1:19" ht="16.5" customHeight="1" x14ac:dyDescent="0.2">
      <c r="A10" s="58">
        <v>6</v>
      </c>
      <c r="B10" s="143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3">
        <v>8251772</v>
      </c>
      <c r="H10" s="137">
        <f>25000+200000+500000+500000+3587000</f>
        <v>4812000</v>
      </c>
      <c r="I10" s="58">
        <f>996000+1743495+104835+26842</f>
        <v>2871172</v>
      </c>
      <c r="J10" s="137">
        <v>1268600</v>
      </c>
      <c r="K10" s="137">
        <v>651722</v>
      </c>
      <c r="L10" s="137">
        <f t="shared" si="1"/>
        <v>-50</v>
      </c>
      <c r="M10" s="144">
        <f t="shared" si="0"/>
        <v>48228</v>
      </c>
    </row>
    <row r="11" spans="1:19" ht="16.5" customHeight="1" x14ac:dyDescent="0.2">
      <c r="A11" s="58">
        <v>7</v>
      </c>
      <c r="B11" s="143">
        <v>136</v>
      </c>
      <c r="C11" s="91" t="s">
        <v>147</v>
      </c>
      <c r="D11" s="105" t="s">
        <v>146</v>
      </c>
      <c r="E11" s="143"/>
      <c r="F11" s="58">
        <v>0</v>
      </c>
      <c r="G11" s="143">
        <v>0</v>
      </c>
      <c r="H11" s="137">
        <v>0</v>
      </c>
      <c r="I11" s="58">
        <v>0</v>
      </c>
      <c r="J11" s="137">
        <v>0</v>
      </c>
      <c r="K11" s="137"/>
      <c r="L11" s="137">
        <f t="shared" si="1"/>
        <v>0</v>
      </c>
      <c r="M11" s="144">
        <f t="shared" si="0"/>
        <v>0</v>
      </c>
    </row>
    <row r="12" spans="1:19" x14ac:dyDescent="0.2">
      <c r="A12" s="58">
        <v>8</v>
      </c>
      <c r="B12" s="143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3">
        <v>8902480</v>
      </c>
      <c r="H12" s="137">
        <f>225000+225000+1000000+950000+645000+950000+950000</f>
        <v>4945000</v>
      </c>
      <c r="I12" s="58">
        <v>2790480</v>
      </c>
      <c r="J12" s="137">
        <v>1044000</v>
      </c>
      <c r="K12" s="137">
        <v>295200</v>
      </c>
      <c r="L12" s="137">
        <f t="shared" si="1"/>
        <v>215720</v>
      </c>
      <c r="M12" s="144">
        <f t="shared" si="0"/>
        <v>-202480</v>
      </c>
    </row>
    <row r="13" spans="1:19" ht="26.25" customHeight="1" x14ac:dyDescent="0.2">
      <c r="A13" s="58">
        <v>9</v>
      </c>
      <c r="B13" s="143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3">
        <v>7420000</v>
      </c>
      <c r="H13" s="137">
        <f>25000+200000+1000000+900000+900000+900000+975000</f>
        <v>4900000</v>
      </c>
      <c r="I13" s="58">
        <v>1080000</v>
      </c>
      <c r="J13" s="137">
        <f>1080000+360000</f>
        <v>1440000</v>
      </c>
      <c r="K13" s="137">
        <v>153000</v>
      </c>
      <c r="L13" s="137">
        <f t="shared" si="1"/>
        <v>1733000</v>
      </c>
      <c r="M13" s="144">
        <f t="shared" si="0"/>
        <v>1580000</v>
      </c>
    </row>
    <row r="14" spans="1:19" x14ac:dyDescent="0.2">
      <c r="A14" s="58">
        <v>10</v>
      </c>
      <c r="B14" s="143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5">
        <f>25000+200000</f>
        <v>225000</v>
      </c>
      <c r="I14" s="58"/>
      <c r="J14" s="137"/>
      <c r="K14" s="137"/>
      <c r="L14" s="137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09" t="s">
        <v>44</v>
      </c>
      <c r="F15" s="110">
        <f t="shared" ref="F15:M15" si="2">SUM(F5:F14)</f>
        <v>82460000</v>
      </c>
      <c r="G15" s="110">
        <f t="shared" si="2"/>
        <v>67355072</v>
      </c>
      <c r="H15" s="146">
        <f t="shared" si="2"/>
        <v>40236000</v>
      </c>
      <c r="I15" s="146">
        <f t="shared" si="2"/>
        <v>20487517</v>
      </c>
      <c r="J15" s="146">
        <f t="shared" si="2"/>
        <v>7241600</v>
      </c>
      <c r="K15" s="146">
        <f t="shared" si="2"/>
        <v>2996978</v>
      </c>
      <c r="L15" s="146">
        <f t="shared" si="2"/>
        <v>17491861</v>
      </c>
      <c r="M15" s="144">
        <f t="shared" si="2"/>
        <v>2429928</v>
      </c>
    </row>
    <row r="16" spans="1:19" ht="13.5" thickTop="1" x14ac:dyDescent="0.2">
      <c r="A16" s="138"/>
      <c r="B16" s="138"/>
      <c r="C16" s="138"/>
      <c r="D16" s="138"/>
      <c r="E16" s="147"/>
      <c r="F16" s="147"/>
      <c r="G16" s="147"/>
      <c r="H16" s="147"/>
      <c r="I16" s="147"/>
      <c r="J16" s="147"/>
      <c r="K16" s="147"/>
      <c r="L16" s="147"/>
    </row>
    <row r="17" spans="1:12" x14ac:dyDescent="0.2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</row>
    <row r="18" spans="1:12" x14ac:dyDescent="0.2">
      <c r="A18" s="138"/>
      <c r="B18" s="138"/>
      <c r="C18" s="138"/>
      <c r="D18" s="138"/>
      <c r="E18" s="56"/>
      <c r="F18" s="148"/>
      <c r="G18" s="138"/>
      <c r="H18" s="138"/>
      <c r="I18" s="148"/>
      <c r="J18" s="138"/>
      <c r="K18" s="138"/>
      <c r="L18" s="138"/>
    </row>
    <row r="19" spans="1:12" ht="18.75" customHeight="1" x14ac:dyDescent="0.2">
      <c r="A19" s="138"/>
      <c r="B19" s="138"/>
      <c r="C19" s="138"/>
      <c r="D19" s="138"/>
      <c r="E19" s="56"/>
      <c r="F19" s="148"/>
      <c r="G19" s="138"/>
      <c r="H19" s="138"/>
      <c r="I19" s="138"/>
      <c r="J19" s="138"/>
      <c r="K19" s="138"/>
      <c r="L19" s="138"/>
    </row>
    <row r="20" spans="1:12" x14ac:dyDescent="0.2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  <row r="21" spans="1:12" x14ac:dyDescent="0.2">
      <c r="A21" s="138"/>
      <c r="B21" s="138"/>
      <c r="C21" s="138"/>
      <c r="D21" s="138"/>
      <c r="E21" s="107"/>
      <c r="F21" s="148"/>
      <c r="G21" s="138"/>
      <c r="H21" s="138"/>
      <c r="I21" s="138"/>
      <c r="J21" s="138"/>
      <c r="K21" s="138"/>
      <c r="L21" s="138"/>
    </row>
    <row r="22" spans="1:12" x14ac:dyDescent="0.2">
      <c r="A22" s="138"/>
      <c r="B22" s="138"/>
      <c r="C22" s="138"/>
      <c r="D22" s="138"/>
      <c r="E22" s="97"/>
      <c r="F22" s="148"/>
      <c r="G22" s="138"/>
      <c r="H22" s="138"/>
      <c r="I22" s="138"/>
      <c r="J22" s="138"/>
      <c r="K22" s="138"/>
      <c r="L22" s="138"/>
    </row>
    <row r="23" spans="1:12" x14ac:dyDescent="0.2">
      <c r="A23" s="138"/>
      <c r="B23" s="138"/>
      <c r="C23" s="138"/>
      <c r="D23" s="138"/>
      <c r="E23" s="148"/>
      <c r="F23" s="138"/>
      <c r="G23" s="138"/>
      <c r="H23" s="138"/>
      <c r="I23" s="138"/>
      <c r="J23" s="138"/>
      <c r="K23" s="138"/>
      <c r="L23" s="138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2"/>
      <c r="B1" s="112" t="s">
        <v>190</v>
      </c>
      <c r="C1" s="113"/>
      <c r="D1" s="114"/>
      <c r="E1" s="115"/>
    </row>
    <row r="2" spans="1:5" x14ac:dyDescent="0.25">
      <c r="A2" s="116">
        <v>1</v>
      </c>
      <c r="B2" s="117" t="s">
        <v>191</v>
      </c>
      <c r="C2" s="118">
        <v>0.01</v>
      </c>
      <c r="D2" s="114">
        <v>9000</v>
      </c>
      <c r="E2" s="119">
        <v>90</v>
      </c>
    </row>
    <row r="3" spans="1:5" x14ac:dyDescent="0.25">
      <c r="A3" s="116">
        <f>A2+1</f>
        <v>2</v>
      </c>
      <c r="B3" s="117" t="s">
        <v>192</v>
      </c>
      <c r="C3" s="118">
        <v>0.01</v>
      </c>
      <c r="D3" s="114">
        <v>2400</v>
      </c>
      <c r="E3" s="119">
        <v>24</v>
      </c>
    </row>
    <row r="4" spans="1:5" x14ac:dyDescent="0.25">
      <c r="A4" s="116">
        <f t="shared" ref="A4:A56" si="0">A3+1</f>
        <v>3</v>
      </c>
      <c r="B4" s="117" t="s">
        <v>193</v>
      </c>
      <c r="C4" s="118">
        <v>0.01</v>
      </c>
      <c r="D4" s="114">
        <v>2400</v>
      </c>
      <c r="E4" s="119">
        <v>24</v>
      </c>
    </row>
    <row r="5" spans="1:5" x14ac:dyDescent="0.25">
      <c r="A5" s="116">
        <f t="shared" si="0"/>
        <v>4</v>
      </c>
      <c r="B5" s="117" t="s">
        <v>194</v>
      </c>
      <c r="C5" s="118">
        <v>0.01</v>
      </c>
      <c r="D5" s="114">
        <v>50000</v>
      </c>
      <c r="E5" s="119">
        <v>500</v>
      </c>
    </row>
    <row r="6" spans="1:5" x14ac:dyDescent="0.25">
      <c r="A6" s="116">
        <f t="shared" si="0"/>
        <v>5</v>
      </c>
      <c r="B6" s="117" t="s">
        <v>195</v>
      </c>
      <c r="C6" s="118">
        <v>0.01</v>
      </c>
      <c r="D6" s="114">
        <v>20700</v>
      </c>
      <c r="E6" s="119">
        <v>207</v>
      </c>
    </row>
    <row r="7" spans="1:5" x14ac:dyDescent="0.25">
      <c r="A7" s="116">
        <f t="shared" si="0"/>
        <v>6</v>
      </c>
      <c r="B7" s="117" t="s">
        <v>196</v>
      </c>
      <c r="C7" s="118">
        <v>0.01</v>
      </c>
      <c r="D7" s="114">
        <v>8400</v>
      </c>
      <c r="E7" s="119">
        <v>84</v>
      </c>
    </row>
    <row r="8" spans="1:5" x14ac:dyDescent="0.25">
      <c r="A8" s="116">
        <f t="shared" si="0"/>
        <v>7</v>
      </c>
      <c r="B8" s="117" t="s">
        <v>197</v>
      </c>
      <c r="C8" s="118">
        <v>0.01</v>
      </c>
      <c r="D8" s="114">
        <v>35000</v>
      </c>
      <c r="E8" s="119">
        <v>350</v>
      </c>
    </row>
    <row r="9" spans="1:5" x14ac:dyDescent="0.25">
      <c r="A9" s="116">
        <f t="shared" si="0"/>
        <v>8</v>
      </c>
      <c r="B9" s="117" t="s">
        <v>198</v>
      </c>
      <c r="C9" s="118">
        <v>0.01</v>
      </c>
      <c r="D9" s="114">
        <v>22000</v>
      </c>
      <c r="E9" s="119">
        <v>220</v>
      </c>
    </row>
    <row r="10" spans="1:5" x14ac:dyDescent="0.25">
      <c r="A10" s="116">
        <f t="shared" si="0"/>
        <v>9</v>
      </c>
      <c r="B10" s="117" t="s">
        <v>199</v>
      </c>
      <c r="C10" s="118">
        <v>0.01</v>
      </c>
      <c r="D10" s="114">
        <v>35000</v>
      </c>
      <c r="E10" s="119">
        <v>350</v>
      </c>
    </row>
    <row r="11" spans="1:5" x14ac:dyDescent="0.25">
      <c r="A11" s="116">
        <f t="shared" si="0"/>
        <v>10</v>
      </c>
      <c r="B11" s="117" t="s">
        <v>194</v>
      </c>
      <c r="C11" s="118">
        <v>0.01</v>
      </c>
      <c r="D11" s="114">
        <v>50000</v>
      </c>
      <c r="E11" s="119">
        <v>500</v>
      </c>
    </row>
    <row r="12" spans="1:5" x14ac:dyDescent="0.25">
      <c r="A12" s="116">
        <f t="shared" si="0"/>
        <v>11</v>
      </c>
      <c r="B12" s="117" t="s">
        <v>200</v>
      </c>
      <c r="C12" s="118">
        <v>0.01</v>
      </c>
      <c r="D12" s="114">
        <v>2100</v>
      </c>
      <c r="E12" s="119">
        <v>42</v>
      </c>
    </row>
    <row r="13" spans="1:5" x14ac:dyDescent="0.25">
      <c r="A13" s="116">
        <f t="shared" si="0"/>
        <v>12</v>
      </c>
      <c r="B13" s="117" t="s">
        <v>192</v>
      </c>
      <c r="C13" s="118">
        <v>0.01</v>
      </c>
      <c r="D13" s="114">
        <v>3600</v>
      </c>
      <c r="E13" s="119">
        <v>36</v>
      </c>
    </row>
    <row r="14" spans="1:5" x14ac:dyDescent="0.25">
      <c r="A14" s="116">
        <f t="shared" si="0"/>
        <v>13</v>
      </c>
      <c r="B14" s="117" t="s">
        <v>193</v>
      </c>
      <c r="C14" s="118">
        <v>0.01</v>
      </c>
      <c r="D14" s="114">
        <v>3600</v>
      </c>
      <c r="E14" s="119">
        <v>36</v>
      </c>
    </row>
    <row r="15" spans="1:5" x14ac:dyDescent="0.25">
      <c r="A15" s="116">
        <f t="shared" si="0"/>
        <v>14</v>
      </c>
      <c r="B15" s="117" t="s">
        <v>191</v>
      </c>
      <c r="C15" s="118">
        <v>0.01</v>
      </c>
      <c r="D15" s="114">
        <v>12000</v>
      </c>
      <c r="E15" s="119">
        <v>120</v>
      </c>
    </row>
    <row r="16" spans="1:5" x14ac:dyDescent="0.25">
      <c r="A16" s="116">
        <f t="shared" si="0"/>
        <v>15</v>
      </c>
      <c r="B16" s="117" t="s">
        <v>201</v>
      </c>
      <c r="C16" s="118">
        <v>0.01</v>
      </c>
      <c r="D16" s="114">
        <v>30000</v>
      </c>
      <c r="E16" s="119">
        <v>300</v>
      </c>
    </row>
    <row r="17" spans="1:5" x14ac:dyDescent="0.25">
      <c r="A17" s="116">
        <f t="shared" si="0"/>
        <v>16</v>
      </c>
      <c r="B17" s="117" t="s">
        <v>202</v>
      </c>
      <c r="C17" s="118">
        <v>0.01</v>
      </c>
      <c r="D17" s="114">
        <v>10650</v>
      </c>
      <c r="E17" s="119">
        <v>107</v>
      </c>
    </row>
    <row r="18" spans="1:5" x14ac:dyDescent="0.25">
      <c r="A18" s="116">
        <f t="shared" si="0"/>
        <v>17</v>
      </c>
      <c r="B18" s="117" t="s">
        <v>203</v>
      </c>
      <c r="C18" s="118">
        <v>0.01</v>
      </c>
      <c r="D18" s="114">
        <v>1400</v>
      </c>
      <c r="E18" s="119">
        <v>14</v>
      </c>
    </row>
    <row r="19" spans="1:5" x14ac:dyDescent="0.25">
      <c r="A19" s="116">
        <f t="shared" si="0"/>
        <v>18</v>
      </c>
      <c r="B19" s="117" t="s">
        <v>204</v>
      </c>
      <c r="C19" s="118">
        <v>0.01</v>
      </c>
      <c r="D19" s="114">
        <v>1250</v>
      </c>
      <c r="E19" s="119">
        <v>13</v>
      </c>
    </row>
    <row r="20" spans="1:5" x14ac:dyDescent="0.25">
      <c r="A20" s="116">
        <f t="shared" si="0"/>
        <v>19</v>
      </c>
      <c r="B20" s="117" t="s">
        <v>195</v>
      </c>
      <c r="C20" s="118">
        <v>0.01</v>
      </c>
      <c r="D20" s="114">
        <v>4450</v>
      </c>
      <c r="E20" s="119">
        <v>45</v>
      </c>
    </row>
    <row r="21" spans="1:5" x14ac:dyDescent="0.25">
      <c r="A21" s="116">
        <f t="shared" si="0"/>
        <v>20</v>
      </c>
      <c r="B21" s="117" t="s">
        <v>205</v>
      </c>
      <c r="C21" s="118">
        <v>0.01</v>
      </c>
      <c r="D21" s="114">
        <v>13600</v>
      </c>
      <c r="E21" s="119">
        <v>136</v>
      </c>
    </row>
    <row r="22" spans="1:5" x14ac:dyDescent="0.25">
      <c r="A22" s="116">
        <f t="shared" si="0"/>
        <v>21</v>
      </c>
      <c r="B22" s="117" t="s">
        <v>206</v>
      </c>
      <c r="C22" s="118">
        <v>0.01</v>
      </c>
      <c r="D22" s="114">
        <v>19500</v>
      </c>
      <c r="E22" s="119">
        <v>195</v>
      </c>
    </row>
    <row r="23" spans="1:5" x14ac:dyDescent="0.25">
      <c r="A23" s="116">
        <f t="shared" si="0"/>
        <v>22</v>
      </c>
      <c r="B23" s="117" t="s">
        <v>207</v>
      </c>
      <c r="C23" s="118">
        <v>0.01</v>
      </c>
      <c r="D23" s="114">
        <v>7500</v>
      </c>
      <c r="E23" s="119">
        <v>75</v>
      </c>
    </row>
    <row r="24" spans="1:5" x14ac:dyDescent="0.25">
      <c r="A24" s="116">
        <f t="shared" si="0"/>
        <v>23</v>
      </c>
      <c r="B24" s="117" t="s">
        <v>202</v>
      </c>
      <c r="C24" s="118">
        <v>0.01</v>
      </c>
      <c r="D24" s="114">
        <v>9500</v>
      </c>
      <c r="E24" s="119">
        <v>95</v>
      </c>
    </row>
    <row r="25" spans="1:5" x14ac:dyDescent="0.25">
      <c r="A25" s="116">
        <f t="shared" si="0"/>
        <v>24</v>
      </c>
      <c r="B25" s="117" t="s">
        <v>196</v>
      </c>
      <c r="C25" s="118">
        <v>0.01</v>
      </c>
      <c r="D25" s="114">
        <v>50000</v>
      </c>
      <c r="E25" s="119">
        <v>500</v>
      </c>
    </row>
    <row r="26" spans="1:5" x14ac:dyDescent="0.25">
      <c r="A26" s="116">
        <f t="shared" si="0"/>
        <v>25</v>
      </c>
      <c r="B26" s="117" t="s">
        <v>191</v>
      </c>
      <c r="C26" s="118">
        <v>0.01</v>
      </c>
      <c r="D26" s="114">
        <v>13100</v>
      </c>
      <c r="E26" s="119">
        <v>131</v>
      </c>
    </row>
    <row r="27" spans="1:5" x14ac:dyDescent="0.25">
      <c r="A27" s="116">
        <f t="shared" si="0"/>
        <v>26</v>
      </c>
      <c r="B27" s="117" t="s">
        <v>208</v>
      </c>
      <c r="C27" s="118">
        <v>0.01</v>
      </c>
      <c r="D27" s="114">
        <v>2300</v>
      </c>
      <c r="E27" s="119">
        <v>23</v>
      </c>
    </row>
    <row r="28" spans="1:5" x14ac:dyDescent="0.25">
      <c r="A28" s="116">
        <f t="shared" si="0"/>
        <v>27</v>
      </c>
      <c r="B28" s="117" t="s">
        <v>193</v>
      </c>
      <c r="C28" s="118">
        <v>0.01</v>
      </c>
      <c r="D28" s="114">
        <v>3000</v>
      </c>
      <c r="E28" s="119">
        <v>30</v>
      </c>
    </row>
    <row r="29" spans="1:5" x14ac:dyDescent="0.25">
      <c r="A29" s="116">
        <f t="shared" si="0"/>
        <v>28</v>
      </c>
      <c r="B29" s="117" t="s">
        <v>192</v>
      </c>
      <c r="C29" s="118">
        <v>0.01</v>
      </c>
      <c r="D29" s="114">
        <v>3000</v>
      </c>
      <c r="E29" s="119">
        <v>30</v>
      </c>
    </row>
    <row r="30" spans="1:5" x14ac:dyDescent="0.25">
      <c r="A30" s="116">
        <f t="shared" si="0"/>
        <v>29</v>
      </c>
      <c r="B30" s="117" t="s">
        <v>194</v>
      </c>
      <c r="C30" s="118">
        <v>0.01</v>
      </c>
      <c r="D30" s="114">
        <v>20000</v>
      </c>
      <c r="E30" s="119">
        <v>200</v>
      </c>
    </row>
    <row r="31" spans="1:5" x14ac:dyDescent="0.25">
      <c r="A31" s="116">
        <f t="shared" si="0"/>
        <v>30</v>
      </c>
      <c r="B31" s="117" t="s">
        <v>198</v>
      </c>
      <c r="C31" s="118">
        <v>0.01</v>
      </c>
      <c r="D31" s="114">
        <v>40000</v>
      </c>
      <c r="E31" s="119">
        <v>400</v>
      </c>
    </row>
    <row r="32" spans="1:5" x14ac:dyDescent="0.25">
      <c r="A32" s="116">
        <f t="shared" si="0"/>
        <v>31</v>
      </c>
      <c r="B32" s="117" t="s">
        <v>209</v>
      </c>
      <c r="C32" s="118">
        <v>0.01</v>
      </c>
      <c r="D32" s="114">
        <v>50000</v>
      </c>
      <c r="E32" s="119">
        <v>500</v>
      </c>
    </row>
    <row r="33" spans="1:5" x14ac:dyDescent="0.25">
      <c r="A33" s="116">
        <f t="shared" si="0"/>
        <v>32</v>
      </c>
      <c r="B33" s="117" t="s">
        <v>201</v>
      </c>
      <c r="C33" s="118">
        <v>0.01</v>
      </c>
      <c r="D33" s="114">
        <v>30000</v>
      </c>
      <c r="E33" s="119">
        <v>300</v>
      </c>
    </row>
    <row r="34" spans="1:5" x14ac:dyDescent="0.25">
      <c r="A34" s="116">
        <f t="shared" si="0"/>
        <v>33</v>
      </c>
      <c r="B34" s="117" t="s">
        <v>210</v>
      </c>
      <c r="C34" s="118">
        <v>0.01</v>
      </c>
      <c r="D34" s="114">
        <v>50000</v>
      </c>
      <c r="E34" s="119">
        <v>500</v>
      </c>
    </row>
    <row r="35" spans="1:5" x14ac:dyDescent="0.25">
      <c r="A35" s="116">
        <f t="shared" si="0"/>
        <v>34</v>
      </c>
      <c r="B35" s="117" t="s">
        <v>208</v>
      </c>
      <c r="C35" s="118">
        <v>0.01</v>
      </c>
      <c r="D35" s="114">
        <v>2300</v>
      </c>
      <c r="E35" s="119">
        <v>23</v>
      </c>
    </row>
    <row r="36" spans="1:5" x14ac:dyDescent="0.25">
      <c r="A36" s="116">
        <f t="shared" si="0"/>
        <v>35</v>
      </c>
      <c r="B36" s="117" t="s">
        <v>193</v>
      </c>
      <c r="C36" s="118">
        <v>0.01</v>
      </c>
      <c r="D36" s="114">
        <v>1800</v>
      </c>
      <c r="E36" s="119">
        <v>18</v>
      </c>
    </row>
    <row r="37" spans="1:5" x14ac:dyDescent="0.25">
      <c r="A37" s="116">
        <f t="shared" si="0"/>
        <v>36</v>
      </c>
      <c r="B37" s="117" t="s">
        <v>211</v>
      </c>
      <c r="C37" s="118">
        <v>0.01</v>
      </c>
      <c r="D37" s="114">
        <v>2450</v>
      </c>
      <c r="E37" s="119">
        <v>24</v>
      </c>
    </row>
    <row r="38" spans="1:5" x14ac:dyDescent="0.25">
      <c r="A38" s="116">
        <f t="shared" si="0"/>
        <v>37</v>
      </c>
      <c r="B38" s="117" t="s">
        <v>192</v>
      </c>
      <c r="C38" s="118">
        <v>0.01</v>
      </c>
      <c r="D38" s="114">
        <v>1800</v>
      </c>
      <c r="E38" s="119">
        <v>18</v>
      </c>
    </row>
    <row r="39" spans="1:5" x14ac:dyDescent="0.25">
      <c r="A39" s="116">
        <f t="shared" si="0"/>
        <v>38</v>
      </c>
      <c r="B39" s="117" t="s">
        <v>191</v>
      </c>
      <c r="C39" s="118">
        <v>0.01</v>
      </c>
      <c r="D39" s="114">
        <v>8000</v>
      </c>
      <c r="E39" s="119">
        <v>80</v>
      </c>
    </row>
    <row r="40" spans="1:5" x14ac:dyDescent="0.25">
      <c r="A40" s="116">
        <f t="shared" si="0"/>
        <v>39</v>
      </c>
      <c r="B40" s="117" t="s">
        <v>212</v>
      </c>
      <c r="C40" s="118">
        <v>0.01</v>
      </c>
      <c r="D40" s="114">
        <v>9610</v>
      </c>
      <c r="E40" s="119">
        <v>96</v>
      </c>
    </row>
    <row r="41" spans="1:5" x14ac:dyDescent="0.25">
      <c r="A41" s="116">
        <f t="shared" si="0"/>
        <v>40</v>
      </c>
      <c r="B41" s="117" t="s">
        <v>210</v>
      </c>
      <c r="C41" s="118">
        <v>0.01</v>
      </c>
      <c r="D41" s="120">
        <v>50000</v>
      </c>
      <c r="E41" s="119">
        <v>500</v>
      </c>
    </row>
    <row r="42" spans="1:5" x14ac:dyDescent="0.25">
      <c r="A42" s="116">
        <f t="shared" si="0"/>
        <v>41</v>
      </c>
      <c r="B42" s="117" t="s">
        <v>198</v>
      </c>
      <c r="C42" s="118">
        <v>0.01</v>
      </c>
      <c r="D42" s="114">
        <v>10000</v>
      </c>
      <c r="E42" s="119">
        <v>100</v>
      </c>
    </row>
    <row r="43" spans="1:5" x14ac:dyDescent="0.25">
      <c r="A43" s="116">
        <f t="shared" si="0"/>
        <v>42</v>
      </c>
      <c r="B43" s="117" t="s">
        <v>197</v>
      </c>
      <c r="C43" s="118">
        <v>0.01</v>
      </c>
      <c r="D43" s="114">
        <v>4500</v>
      </c>
      <c r="E43" s="119">
        <v>45</v>
      </c>
    </row>
    <row r="44" spans="1:5" x14ac:dyDescent="0.25">
      <c r="A44" s="116">
        <f t="shared" si="0"/>
        <v>43</v>
      </c>
      <c r="B44" s="117" t="s">
        <v>202</v>
      </c>
      <c r="C44" s="118">
        <v>0.01</v>
      </c>
      <c r="D44" s="114">
        <v>5800</v>
      </c>
      <c r="E44" s="119">
        <v>58</v>
      </c>
    </row>
    <row r="45" spans="1:5" x14ac:dyDescent="0.25">
      <c r="A45" s="116">
        <f t="shared" si="0"/>
        <v>44</v>
      </c>
      <c r="B45" s="117" t="s">
        <v>203</v>
      </c>
      <c r="C45" s="118">
        <v>0.01</v>
      </c>
      <c r="D45" s="114">
        <v>700</v>
      </c>
      <c r="E45" s="119">
        <v>7</v>
      </c>
    </row>
    <row r="46" spans="1:5" x14ac:dyDescent="0.25">
      <c r="A46" s="116">
        <f t="shared" si="0"/>
        <v>45</v>
      </c>
      <c r="B46" s="117" t="s">
        <v>193</v>
      </c>
      <c r="C46" s="118">
        <v>0.01</v>
      </c>
      <c r="D46" s="114">
        <v>5700</v>
      </c>
      <c r="E46" s="119">
        <v>57</v>
      </c>
    </row>
    <row r="47" spans="1:5" x14ac:dyDescent="0.25">
      <c r="A47" s="116">
        <f t="shared" si="0"/>
        <v>46</v>
      </c>
      <c r="B47" s="117" t="s">
        <v>208</v>
      </c>
      <c r="C47" s="118">
        <v>0.01</v>
      </c>
      <c r="D47" s="114">
        <v>5625</v>
      </c>
      <c r="E47" s="119">
        <v>56</v>
      </c>
    </row>
    <row r="48" spans="1:5" x14ac:dyDescent="0.25">
      <c r="A48" s="116">
        <f t="shared" si="0"/>
        <v>47</v>
      </c>
      <c r="B48" s="117" t="s">
        <v>191</v>
      </c>
      <c r="C48" s="118">
        <v>0.01</v>
      </c>
      <c r="D48" s="114">
        <v>10200</v>
      </c>
      <c r="E48" s="119">
        <v>102</v>
      </c>
    </row>
    <row r="49" spans="1:5" x14ac:dyDescent="0.25">
      <c r="A49" s="116">
        <f t="shared" si="0"/>
        <v>48</v>
      </c>
      <c r="B49" s="117" t="s">
        <v>192</v>
      </c>
      <c r="C49" s="118">
        <v>0.01</v>
      </c>
      <c r="D49" s="114">
        <v>3050</v>
      </c>
      <c r="E49" s="119">
        <v>30</v>
      </c>
    </row>
    <row r="50" spans="1:5" x14ac:dyDescent="0.25">
      <c r="A50" s="116">
        <f t="shared" si="0"/>
        <v>49</v>
      </c>
      <c r="B50" s="117" t="s">
        <v>211</v>
      </c>
      <c r="C50" s="118">
        <v>0.01</v>
      </c>
      <c r="D50" s="114">
        <v>3425</v>
      </c>
      <c r="E50" s="119">
        <v>34</v>
      </c>
    </row>
    <row r="51" spans="1:5" x14ac:dyDescent="0.25">
      <c r="A51" s="116">
        <f t="shared" si="0"/>
        <v>50</v>
      </c>
      <c r="B51" s="117" t="s">
        <v>213</v>
      </c>
      <c r="C51" s="118">
        <v>0.01</v>
      </c>
      <c r="D51" s="114">
        <v>2200</v>
      </c>
      <c r="E51" s="119">
        <v>22</v>
      </c>
    </row>
    <row r="52" spans="1:5" x14ac:dyDescent="0.25">
      <c r="A52" s="116">
        <f t="shared" si="0"/>
        <v>51</v>
      </c>
      <c r="B52" s="117" t="s">
        <v>202</v>
      </c>
      <c r="C52" s="118">
        <v>0.01</v>
      </c>
      <c r="D52" s="114">
        <v>7400</v>
      </c>
      <c r="E52" s="119">
        <v>74</v>
      </c>
    </row>
    <row r="53" spans="1:5" x14ac:dyDescent="0.25">
      <c r="A53" s="116">
        <f t="shared" si="0"/>
        <v>52</v>
      </c>
      <c r="B53" s="117" t="s">
        <v>203</v>
      </c>
      <c r="C53" s="118">
        <v>0.01</v>
      </c>
      <c r="D53" s="114">
        <v>700</v>
      </c>
      <c r="E53" s="119">
        <v>7</v>
      </c>
    </row>
    <row r="54" spans="1:5" x14ac:dyDescent="0.25">
      <c r="A54" s="116">
        <f t="shared" si="0"/>
        <v>53</v>
      </c>
      <c r="B54" s="117" t="s">
        <v>214</v>
      </c>
      <c r="C54" s="118">
        <v>0.01</v>
      </c>
      <c r="D54" s="114">
        <v>1950</v>
      </c>
      <c r="E54" s="119">
        <v>20</v>
      </c>
    </row>
    <row r="55" spans="1:5" x14ac:dyDescent="0.25">
      <c r="A55" s="116">
        <f t="shared" si="0"/>
        <v>54</v>
      </c>
      <c r="B55" s="117" t="s">
        <v>215</v>
      </c>
      <c r="C55" s="118">
        <v>0.01</v>
      </c>
      <c r="D55" s="114">
        <v>18800</v>
      </c>
      <c r="E55" s="119">
        <v>188</v>
      </c>
    </row>
    <row r="56" spans="1:5" x14ac:dyDescent="0.25">
      <c r="A56" s="116">
        <f t="shared" si="0"/>
        <v>55</v>
      </c>
      <c r="B56" s="117" t="s">
        <v>209</v>
      </c>
      <c r="C56" s="118">
        <v>0.01</v>
      </c>
      <c r="D56" s="121">
        <v>50000</v>
      </c>
      <c r="E56" s="119">
        <v>500</v>
      </c>
    </row>
    <row r="57" spans="1:5" x14ac:dyDescent="0.25">
      <c r="A57" s="116"/>
      <c r="B57" s="122" t="s">
        <v>44</v>
      </c>
      <c r="C57" s="118"/>
      <c r="D57" s="123">
        <f>SUM(D2:D56)</f>
        <v>821460</v>
      </c>
      <c r="E57" s="124">
        <f>SUM(E2:E56)</f>
        <v>8236</v>
      </c>
    </row>
    <row r="58" spans="1:5" x14ac:dyDescent="0.25">
      <c r="A58" s="125" t="s">
        <v>216</v>
      </c>
      <c r="B58" s="113" t="s">
        <v>217</v>
      </c>
      <c r="C58" s="113" t="s">
        <v>218</v>
      </c>
      <c r="D58" s="114" t="s">
        <v>219</v>
      </c>
      <c r="E58" s="114" t="s">
        <v>220</v>
      </c>
    </row>
    <row r="59" spans="1:5" x14ac:dyDescent="0.25">
      <c r="A59" s="126"/>
      <c r="B59" s="117"/>
      <c r="C59" s="127"/>
      <c r="D59" s="121"/>
      <c r="E59" s="128"/>
    </row>
    <row r="60" spans="1:5" x14ac:dyDescent="0.25">
      <c r="A60" s="126">
        <v>1</v>
      </c>
      <c r="B60" s="117" t="s">
        <v>221</v>
      </c>
      <c r="C60" s="127">
        <v>0.1</v>
      </c>
      <c r="D60" s="121">
        <v>52500</v>
      </c>
      <c r="E60" s="119">
        <v>5250</v>
      </c>
    </row>
    <row r="61" spans="1:5" x14ac:dyDescent="0.25">
      <c r="A61" s="126">
        <f>A60+1</f>
        <v>2</v>
      </c>
      <c r="B61" s="117" t="s">
        <v>222</v>
      </c>
      <c r="C61" s="127">
        <v>0.1</v>
      </c>
      <c r="D61" s="121">
        <v>62016</v>
      </c>
      <c r="E61" s="119">
        <v>6202</v>
      </c>
    </row>
    <row r="62" spans="1:5" x14ac:dyDescent="0.25">
      <c r="A62" s="126">
        <f t="shared" ref="A62:A75" si="1">A61+1</f>
        <v>3</v>
      </c>
      <c r="B62" s="117" t="s">
        <v>223</v>
      </c>
      <c r="C62" s="127">
        <v>0.1</v>
      </c>
      <c r="D62" s="121">
        <v>93024</v>
      </c>
      <c r="E62" s="119">
        <v>9302</v>
      </c>
    </row>
    <row r="63" spans="1:5" x14ac:dyDescent="0.25">
      <c r="A63" s="126">
        <f t="shared" si="1"/>
        <v>4</v>
      </c>
      <c r="B63" s="117" t="s">
        <v>222</v>
      </c>
      <c r="C63" s="127">
        <v>0.1</v>
      </c>
      <c r="D63" s="121">
        <v>31000</v>
      </c>
      <c r="E63" s="119">
        <v>3100</v>
      </c>
    </row>
    <row r="64" spans="1:5" x14ac:dyDescent="0.25">
      <c r="A64" s="126">
        <f t="shared" si="1"/>
        <v>5</v>
      </c>
      <c r="B64" s="117" t="s">
        <v>224</v>
      </c>
      <c r="C64" s="127">
        <v>0.1</v>
      </c>
      <c r="D64" s="114">
        <v>69813</v>
      </c>
      <c r="E64" s="119">
        <v>6981</v>
      </c>
    </row>
    <row r="65" spans="1:5" x14ac:dyDescent="0.25">
      <c r="A65" s="126">
        <f t="shared" si="1"/>
        <v>6</v>
      </c>
      <c r="B65" s="117" t="s">
        <v>222</v>
      </c>
      <c r="C65" s="127">
        <v>0.1</v>
      </c>
      <c r="D65" s="114">
        <v>18500</v>
      </c>
      <c r="E65" s="119">
        <v>1850</v>
      </c>
    </row>
    <row r="66" spans="1:5" x14ac:dyDescent="0.25">
      <c r="A66" s="126">
        <f t="shared" si="1"/>
        <v>7</v>
      </c>
      <c r="B66" s="117" t="s">
        <v>222</v>
      </c>
      <c r="C66" s="127">
        <v>0.1</v>
      </c>
      <c r="D66" s="114">
        <v>7700</v>
      </c>
      <c r="E66" s="119">
        <v>770</v>
      </c>
    </row>
    <row r="67" spans="1:5" x14ac:dyDescent="0.25">
      <c r="A67" s="126">
        <f t="shared" si="1"/>
        <v>8</v>
      </c>
      <c r="B67" s="117" t="s">
        <v>225</v>
      </c>
      <c r="C67" s="127">
        <v>0.1</v>
      </c>
      <c r="D67" s="114">
        <v>15000</v>
      </c>
      <c r="E67" s="119">
        <v>1500</v>
      </c>
    </row>
    <row r="68" spans="1:5" x14ac:dyDescent="0.25">
      <c r="A68" s="126">
        <f t="shared" si="1"/>
        <v>9</v>
      </c>
      <c r="B68" s="117" t="s">
        <v>223</v>
      </c>
      <c r="C68" s="127">
        <v>0.1</v>
      </c>
      <c r="D68" s="114">
        <v>93024</v>
      </c>
      <c r="E68" s="119">
        <v>9302</v>
      </c>
    </row>
    <row r="69" spans="1:5" x14ac:dyDescent="0.25">
      <c r="A69" s="126">
        <f t="shared" si="1"/>
        <v>10</v>
      </c>
      <c r="B69" s="117" t="s">
        <v>222</v>
      </c>
      <c r="C69" s="127">
        <v>0.1</v>
      </c>
      <c r="D69" s="114">
        <v>32000</v>
      </c>
      <c r="E69" s="119">
        <v>3200</v>
      </c>
    </row>
    <row r="70" spans="1:5" x14ac:dyDescent="0.25">
      <c r="A70" s="126">
        <f t="shared" si="1"/>
        <v>11</v>
      </c>
      <c r="B70" s="117" t="s">
        <v>222</v>
      </c>
      <c r="C70" s="127">
        <v>0.1</v>
      </c>
      <c r="D70" s="114">
        <v>3447</v>
      </c>
      <c r="E70" s="119">
        <v>345</v>
      </c>
    </row>
    <row r="71" spans="1:5" x14ac:dyDescent="0.25">
      <c r="A71" s="126">
        <f t="shared" si="1"/>
        <v>12</v>
      </c>
      <c r="B71" s="117" t="s">
        <v>222</v>
      </c>
      <c r="C71" s="127">
        <v>0.1</v>
      </c>
      <c r="D71" s="114">
        <v>4720</v>
      </c>
      <c r="E71" s="119">
        <v>472</v>
      </c>
    </row>
    <row r="72" spans="1:5" x14ac:dyDescent="0.25">
      <c r="A72" s="126">
        <f t="shared" si="1"/>
        <v>13</v>
      </c>
      <c r="B72" s="117" t="s">
        <v>222</v>
      </c>
      <c r="C72" s="127">
        <v>0.1</v>
      </c>
      <c r="D72" s="114">
        <v>1200</v>
      </c>
      <c r="E72" s="119">
        <v>120</v>
      </c>
    </row>
    <row r="73" spans="1:5" x14ac:dyDescent="0.25">
      <c r="A73" s="126">
        <f t="shared" si="1"/>
        <v>14</v>
      </c>
      <c r="B73" s="117" t="s">
        <v>222</v>
      </c>
      <c r="C73" s="127">
        <v>0.1</v>
      </c>
      <c r="D73" s="114">
        <v>62016</v>
      </c>
      <c r="E73" s="119">
        <v>6202</v>
      </c>
    </row>
    <row r="74" spans="1:5" x14ac:dyDescent="0.25">
      <c r="A74" s="126">
        <f t="shared" si="1"/>
        <v>15</v>
      </c>
      <c r="B74" s="117" t="s">
        <v>222</v>
      </c>
      <c r="C74" s="127">
        <v>0.1</v>
      </c>
      <c r="D74" s="114">
        <v>4085</v>
      </c>
      <c r="E74" s="119">
        <v>409</v>
      </c>
    </row>
    <row r="75" spans="1:5" x14ac:dyDescent="0.25">
      <c r="A75" s="126">
        <f t="shared" si="1"/>
        <v>16</v>
      </c>
      <c r="B75" s="117" t="s">
        <v>222</v>
      </c>
      <c r="C75" s="127">
        <v>0.1</v>
      </c>
      <c r="D75" s="114">
        <v>95520</v>
      </c>
      <c r="E75" s="119">
        <v>9552</v>
      </c>
    </row>
    <row r="76" spans="1:5" ht="15.75" thickBot="1" x14ac:dyDescent="0.3">
      <c r="A76" s="125"/>
      <c r="B76" s="129" t="s">
        <v>44</v>
      </c>
      <c r="C76" s="130"/>
      <c r="D76" s="131">
        <f>SUM(D60:D75)</f>
        <v>645565</v>
      </c>
      <c r="E76" s="131">
        <f>SUM(E60:E75)</f>
        <v>64557</v>
      </c>
    </row>
    <row r="77" spans="1:5" ht="15.75" thickTop="1" x14ac:dyDescent="0.25">
      <c r="A77" s="125"/>
      <c r="B77" s="113"/>
      <c r="C77" s="130"/>
      <c r="D77" s="114"/>
      <c r="E77" s="119"/>
    </row>
    <row r="78" spans="1:5" x14ac:dyDescent="0.25">
      <c r="A78" s="125" t="s">
        <v>216</v>
      </c>
      <c r="B78" s="113" t="s">
        <v>217</v>
      </c>
      <c r="C78" s="113" t="s">
        <v>218</v>
      </c>
      <c r="D78" s="114" t="s">
        <v>219</v>
      </c>
      <c r="E78" s="114" t="s">
        <v>220</v>
      </c>
    </row>
    <row r="79" spans="1:5" x14ac:dyDescent="0.25">
      <c r="A79" s="125"/>
      <c r="B79" s="113"/>
      <c r="C79" s="130"/>
      <c r="D79" s="114"/>
      <c r="E79" s="119"/>
    </row>
    <row r="80" spans="1:5" x14ac:dyDescent="0.25">
      <c r="A80" s="125">
        <v>1</v>
      </c>
      <c r="B80" s="117" t="s">
        <v>226</v>
      </c>
      <c r="C80" s="130">
        <v>0.02</v>
      </c>
      <c r="D80" s="114">
        <v>23795</v>
      </c>
      <c r="E80" s="119">
        <v>476</v>
      </c>
    </row>
    <row r="81" spans="1:5" x14ac:dyDescent="0.25">
      <c r="A81" s="125">
        <f>A80+1</f>
        <v>2</v>
      </c>
      <c r="B81" s="117" t="s">
        <v>227</v>
      </c>
      <c r="C81" s="130">
        <v>0.02</v>
      </c>
      <c r="D81" s="114">
        <v>3500</v>
      </c>
      <c r="E81" s="119">
        <v>70</v>
      </c>
    </row>
    <row r="82" spans="1:5" x14ac:dyDescent="0.25">
      <c r="A82" s="125">
        <f t="shared" ref="A82:A104" si="2">A81+1</f>
        <v>3</v>
      </c>
      <c r="B82" s="117" t="s">
        <v>200</v>
      </c>
      <c r="C82" s="130">
        <v>0.02</v>
      </c>
      <c r="D82" s="114">
        <v>7000</v>
      </c>
      <c r="E82" s="119">
        <v>14</v>
      </c>
    </row>
    <row r="83" spans="1:5" x14ac:dyDescent="0.25">
      <c r="A83" s="125">
        <f t="shared" si="2"/>
        <v>4</v>
      </c>
      <c r="B83" s="117" t="s">
        <v>228</v>
      </c>
      <c r="C83" s="130">
        <v>0.02</v>
      </c>
      <c r="D83" s="114">
        <v>18400</v>
      </c>
      <c r="E83" s="119">
        <v>368</v>
      </c>
    </row>
    <row r="84" spans="1:5" x14ac:dyDescent="0.25">
      <c r="A84" s="125">
        <f t="shared" si="2"/>
        <v>5</v>
      </c>
      <c r="B84" s="117" t="s">
        <v>229</v>
      </c>
      <c r="C84" s="130">
        <v>0.02</v>
      </c>
      <c r="D84" s="114">
        <v>1800</v>
      </c>
      <c r="E84" s="119">
        <v>36</v>
      </c>
    </row>
    <row r="85" spans="1:5" x14ac:dyDescent="0.25">
      <c r="A85" s="125">
        <f t="shared" si="2"/>
        <v>6</v>
      </c>
      <c r="B85" s="117" t="s">
        <v>230</v>
      </c>
      <c r="C85" s="130">
        <v>0.02</v>
      </c>
      <c r="D85" s="114">
        <v>1800</v>
      </c>
      <c r="E85" s="119">
        <v>36</v>
      </c>
    </row>
    <row r="86" spans="1:5" x14ac:dyDescent="0.25">
      <c r="A86" s="125">
        <f t="shared" si="2"/>
        <v>7</v>
      </c>
      <c r="B86" s="117" t="s">
        <v>231</v>
      </c>
      <c r="C86" s="130">
        <v>0.02</v>
      </c>
      <c r="D86" s="114">
        <v>4662</v>
      </c>
      <c r="E86" s="119">
        <v>93</v>
      </c>
    </row>
    <row r="87" spans="1:5" x14ac:dyDescent="0.25">
      <c r="A87" s="125">
        <f t="shared" si="2"/>
        <v>8</v>
      </c>
      <c r="B87" s="117" t="s">
        <v>231</v>
      </c>
      <c r="C87" s="130">
        <v>0.02</v>
      </c>
      <c r="D87" s="114">
        <v>9450</v>
      </c>
      <c r="E87" s="119">
        <v>189</v>
      </c>
    </row>
    <row r="88" spans="1:5" x14ac:dyDescent="0.25">
      <c r="A88" s="125">
        <f t="shared" si="2"/>
        <v>9</v>
      </c>
      <c r="B88" s="117" t="s">
        <v>226</v>
      </c>
      <c r="C88" s="130">
        <v>0.02</v>
      </c>
      <c r="D88" s="114">
        <v>29340</v>
      </c>
      <c r="E88" s="119">
        <v>587</v>
      </c>
    </row>
    <row r="89" spans="1:5" x14ac:dyDescent="0.25">
      <c r="A89" s="125">
        <f t="shared" si="2"/>
        <v>10</v>
      </c>
      <c r="B89" s="117" t="s">
        <v>227</v>
      </c>
      <c r="C89" s="130">
        <v>0.02</v>
      </c>
      <c r="D89" s="132">
        <v>2800</v>
      </c>
      <c r="E89" s="119">
        <v>56</v>
      </c>
    </row>
    <row r="90" spans="1:5" x14ac:dyDescent="0.25">
      <c r="A90" s="125">
        <f t="shared" si="2"/>
        <v>11</v>
      </c>
      <c r="B90" s="117" t="s">
        <v>200</v>
      </c>
      <c r="C90" s="130">
        <v>0.02</v>
      </c>
      <c r="D90" s="114">
        <v>2100</v>
      </c>
      <c r="E90" s="119">
        <v>42</v>
      </c>
    </row>
    <row r="91" spans="1:5" x14ac:dyDescent="0.25">
      <c r="A91" s="125">
        <f t="shared" si="2"/>
        <v>12</v>
      </c>
      <c r="B91" s="117" t="s">
        <v>226</v>
      </c>
      <c r="C91" s="130">
        <v>0.02</v>
      </c>
      <c r="D91" s="114">
        <v>26990</v>
      </c>
      <c r="E91" s="119">
        <v>540</v>
      </c>
    </row>
    <row r="92" spans="1:5" x14ac:dyDescent="0.25">
      <c r="A92" s="125">
        <f t="shared" si="2"/>
        <v>13</v>
      </c>
      <c r="B92" s="117" t="s">
        <v>226</v>
      </c>
      <c r="C92" s="130">
        <v>0.02</v>
      </c>
      <c r="D92" s="114">
        <v>13635</v>
      </c>
      <c r="E92" s="119">
        <v>273</v>
      </c>
    </row>
    <row r="93" spans="1:5" x14ac:dyDescent="0.25">
      <c r="A93" s="125">
        <f t="shared" si="2"/>
        <v>14</v>
      </c>
      <c r="B93" s="117" t="s">
        <v>232</v>
      </c>
      <c r="C93" s="130">
        <v>0.02</v>
      </c>
      <c r="D93" s="114">
        <v>16443</v>
      </c>
      <c r="E93" s="119">
        <v>329</v>
      </c>
    </row>
    <row r="94" spans="1:5" x14ac:dyDescent="0.25">
      <c r="A94" s="125">
        <f t="shared" si="2"/>
        <v>15</v>
      </c>
      <c r="B94" s="117" t="s">
        <v>233</v>
      </c>
      <c r="C94" s="130">
        <v>0.02</v>
      </c>
      <c r="D94" s="114">
        <v>18100</v>
      </c>
      <c r="E94" s="119">
        <v>362</v>
      </c>
    </row>
    <row r="95" spans="1:5" x14ac:dyDescent="0.25">
      <c r="A95" s="125">
        <f t="shared" si="2"/>
        <v>16</v>
      </c>
      <c r="B95" s="117" t="s">
        <v>233</v>
      </c>
      <c r="C95" s="130">
        <v>0.02</v>
      </c>
      <c r="D95" s="114">
        <v>25100</v>
      </c>
      <c r="E95" s="119">
        <v>502</v>
      </c>
    </row>
    <row r="96" spans="1:5" x14ac:dyDescent="0.25">
      <c r="A96" s="125">
        <f t="shared" si="2"/>
        <v>17</v>
      </c>
      <c r="B96" s="117" t="s">
        <v>232</v>
      </c>
      <c r="C96" s="130">
        <v>0.02</v>
      </c>
      <c r="D96" s="114">
        <v>16012</v>
      </c>
      <c r="E96" s="119">
        <v>320</v>
      </c>
    </row>
    <row r="97" spans="1:5" x14ac:dyDescent="0.25">
      <c r="A97" s="125">
        <f t="shared" si="2"/>
        <v>18</v>
      </c>
      <c r="B97" s="117" t="s">
        <v>227</v>
      </c>
      <c r="C97" s="130">
        <v>0.02</v>
      </c>
      <c r="D97" s="114">
        <v>4200</v>
      </c>
      <c r="E97" s="119">
        <v>84</v>
      </c>
    </row>
    <row r="98" spans="1:5" x14ac:dyDescent="0.25">
      <c r="A98" s="125">
        <f t="shared" si="2"/>
        <v>19</v>
      </c>
      <c r="B98" s="117" t="s">
        <v>226</v>
      </c>
      <c r="C98" s="130">
        <v>0.02</v>
      </c>
      <c r="D98" s="114">
        <v>14670</v>
      </c>
      <c r="E98" s="119">
        <v>294</v>
      </c>
    </row>
    <row r="99" spans="1:5" x14ac:dyDescent="0.25">
      <c r="A99" s="125">
        <f t="shared" si="2"/>
        <v>20</v>
      </c>
      <c r="B99" s="117" t="s">
        <v>227</v>
      </c>
      <c r="C99" s="130">
        <v>0.02</v>
      </c>
      <c r="D99" s="114">
        <v>700</v>
      </c>
      <c r="E99" s="119">
        <v>14</v>
      </c>
    </row>
    <row r="100" spans="1:5" x14ac:dyDescent="0.25">
      <c r="A100" s="125">
        <f t="shared" si="2"/>
        <v>21</v>
      </c>
      <c r="B100" s="117" t="s">
        <v>200</v>
      </c>
      <c r="C100" s="130">
        <v>0.02</v>
      </c>
      <c r="D100" s="114">
        <v>1400</v>
      </c>
      <c r="E100" s="119">
        <v>28</v>
      </c>
    </row>
    <row r="101" spans="1:5" x14ac:dyDescent="0.25">
      <c r="A101" s="125">
        <f t="shared" si="2"/>
        <v>22</v>
      </c>
      <c r="B101" s="117" t="s">
        <v>234</v>
      </c>
      <c r="C101" s="130">
        <v>0.02</v>
      </c>
      <c r="D101" s="132">
        <v>2700</v>
      </c>
      <c r="E101" s="119">
        <v>54</v>
      </c>
    </row>
    <row r="102" spans="1:5" x14ac:dyDescent="0.25">
      <c r="A102" s="125">
        <f t="shared" si="2"/>
        <v>23</v>
      </c>
      <c r="B102" s="117" t="s">
        <v>227</v>
      </c>
      <c r="C102" s="130">
        <v>0.02</v>
      </c>
      <c r="D102" s="114">
        <v>4200</v>
      </c>
      <c r="E102" s="119">
        <v>84</v>
      </c>
    </row>
    <row r="103" spans="1:5" x14ac:dyDescent="0.25">
      <c r="A103" s="125">
        <f t="shared" si="2"/>
        <v>24</v>
      </c>
      <c r="B103" s="117" t="s">
        <v>234</v>
      </c>
      <c r="C103" s="130">
        <v>0.02</v>
      </c>
      <c r="D103" s="114">
        <v>5490</v>
      </c>
      <c r="E103" s="119">
        <v>110</v>
      </c>
    </row>
    <row r="104" spans="1:5" x14ac:dyDescent="0.25">
      <c r="A104" s="125">
        <f t="shared" si="2"/>
        <v>25</v>
      </c>
      <c r="B104" s="117" t="s">
        <v>234</v>
      </c>
      <c r="C104" s="130">
        <v>0.02</v>
      </c>
      <c r="D104" s="114">
        <v>2700</v>
      </c>
      <c r="E104" s="119">
        <v>54</v>
      </c>
    </row>
    <row r="105" spans="1:5" ht="15.75" thickBot="1" x14ac:dyDescent="0.3">
      <c r="A105" s="125"/>
      <c r="B105" s="113" t="s">
        <v>44</v>
      </c>
      <c r="C105" s="113"/>
      <c r="D105" s="131">
        <f>SUM(D80:D104)</f>
        <v>256987</v>
      </c>
      <c r="E105" s="13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2022-11-17T07:48:07Z</cp:lastPrinted>
  <dcterms:created xsi:type="dcterms:W3CDTF">2022-02-25T07:36:07Z</dcterms:created>
  <dcterms:modified xsi:type="dcterms:W3CDTF">2023-03-29T12:34:01Z</dcterms:modified>
</cp:coreProperties>
</file>