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amesh\Customer Reconcilation\SOVMHPL -III\Customer Reconciliations 31.03.2022\"/>
    </mc:Choice>
  </mc:AlternateContent>
  <xr:revisionPtr revIDLastSave="0" documentId="13_ncr:1_{0632B324-DC81-43AE-A5A6-181212F17886}" xr6:coauthVersionLast="47" xr6:coauthVersionMax="47" xr10:uidLastSave="{00000000-0000-0000-0000-000000000000}"/>
  <bookViews>
    <workbookView xWindow="30" yWindow="0" windowWidth="20460" windowHeight="10920" firstSheet="1" activeTab="1" xr2:uid="{00000000-000D-0000-FFFF-FFFF00000000}"/>
  </bookViews>
  <sheets>
    <sheet name="RERA sold units details" sheetId="1" state="hidden" r:id="rId1"/>
    <sheet name="Receipts" sheetId="3" r:id="rId2"/>
    <sheet name="Sheet3" sheetId="7" state="hidden" r:id="rId3"/>
    <sheet name="land owners" sheetId="4" state="hidden" r:id="rId4"/>
    <sheet name="Sheet1" sheetId="5" state="hidden" r:id="rId5"/>
    <sheet name="Sheet2" sheetId="6" r:id="rId6"/>
    <sheet name="Sheet4" sheetId="8" state="hidden" r:id="rId7"/>
    <sheet name="Unit Details" sheetId="2" state="hidden" r:id="rId8"/>
  </sheets>
  <externalReferences>
    <externalReference r:id="rId9"/>
  </externalReferences>
  <definedNames>
    <definedName name="_xlnm._FilterDatabase" localSheetId="0" hidden="1">'RERA sold units details'!$A$5:$O$5</definedName>
    <definedName name="_xlnm._FilterDatabase" localSheetId="5" hidden="1">Sheet2!$A$5:$U$5</definedName>
    <definedName name="_xlnm._FilterDatabase" localSheetId="7" hidden="1">'Unit Details'!$A$5:$I$230</definedName>
    <definedName name="_xlnm.Print_Titles" localSheetId="0">'RERA sold units details'!$5:$5</definedName>
    <definedName name="_xlnm.Print_Titles" localSheetId="7">'Unit Details'!$5:$5</definedName>
  </definedNames>
  <calcPr calcId="191029"/>
</workbook>
</file>

<file path=xl/calcChain.xml><?xml version="1.0" encoding="utf-8"?>
<calcChain xmlns="http://schemas.openxmlformats.org/spreadsheetml/2006/main">
  <c r="I51" i="3" l="1"/>
  <c r="L48" i="3"/>
  <c r="K48" i="3"/>
  <c r="K46" i="3"/>
  <c r="K45" i="3"/>
  <c r="I43" i="3"/>
  <c r="I35" i="3"/>
  <c r="L33" i="3"/>
  <c r="I31" i="3"/>
  <c r="L23" i="3"/>
  <c r="L15" i="3"/>
  <c r="I10" i="3" l="1"/>
  <c r="N10" i="3" s="1"/>
  <c r="K62" i="3"/>
  <c r="K47" i="3"/>
  <c r="K44" i="3"/>
  <c r="K43" i="3"/>
  <c r="K42" i="3"/>
  <c r="K41" i="3"/>
  <c r="K40" i="3"/>
  <c r="K39" i="3"/>
  <c r="K38" i="3"/>
  <c r="K37" i="3"/>
  <c r="K36" i="3"/>
  <c r="K35" i="3"/>
  <c r="K34" i="3"/>
  <c r="K32" i="3"/>
  <c r="K31" i="3"/>
  <c r="K30" i="3"/>
  <c r="K29" i="3"/>
  <c r="K28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2" i="3"/>
  <c r="K11" i="3"/>
  <c r="K10" i="3"/>
  <c r="K9" i="3"/>
  <c r="K8" i="3"/>
  <c r="K7" i="3"/>
  <c r="K6" i="3"/>
  <c r="I29" i="3" l="1"/>
  <c r="L27" i="3"/>
  <c r="L17" i="3"/>
  <c r="I17" i="3"/>
  <c r="L10" i="3"/>
  <c r="I48" i="3"/>
  <c r="L22" i="3"/>
  <c r="L18" i="3"/>
  <c r="I18" i="3"/>
  <c r="L16" i="3"/>
  <c r="I60" i="3"/>
  <c r="I57" i="3"/>
  <c r="N9" i="3"/>
  <c r="V10" i="3"/>
  <c r="V9" i="3"/>
  <c r="S10" i="3"/>
  <c r="S9" i="3"/>
  <c r="U9" i="3"/>
  <c r="L9" i="3"/>
  <c r="U20" i="3"/>
  <c r="U19" i="3"/>
  <c r="U11" i="3"/>
  <c r="U8" i="3"/>
  <c r="U7" i="3"/>
  <c r="U6" i="3"/>
  <c r="S52" i="3"/>
  <c r="S48" i="3"/>
  <c r="S45" i="3"/>
  <c r="S44" i="3"/>
  <c r="S42" i="3"/>
  <c r="S41" i="3"/>
  <c r="S40" i="3"/>
  <c r="S30" i="3"/>
  <c r="S29" i="3"/>
  <c r="S27" i="3"/>
  <c r="S25" i="3"/>
  <c r="S23" i="3"/>
  <c r="S22" i="3"/>
  <c r="S20" i="3"/>
  <c r="S19" i="3"/>
  <c r="S18" i="3"/>
  <c r="S17" i="3"/>
  <c r="S16" i="3"/>
  <c r="S15" i="3"/>
  <c r="S14" i="3"/>
  <c r="S13" i="3"/>
  <c r="S12" i="3"/>
  <c r="S11" i="3"/>
  <c r="S8" i="3"/>
  <c r="S7" i="3"/>
  <c r="S6" i="3"/>
  <c r="R64" i="3"/>
  <c r="R48" i="3"/>
  <c r="R12" i="3"/>
  <c r="Q67" i="3"/>
  <c r="Q66" i="3"/>
  <c r="Q64" i="3"/>
  <c r="Q63" i="3"/>
  <c r="Q62" i="3"/>
  <c r="Q59" i="3"/>
  <c r="Q54" i="3"/>
  <c r="Q51" i="3"/>
  <c r="Q50" i="3"/>
  <c r="Q48" i="3"/>
  <c r="Q46" i="3"/>
  <c r="Q45" i="3"/>
  <c r="Q44" i="3"/>
  <c r="Q43" i="3"/>
  <c r="Q42" i="3"/>
  <c r="Q41" i="3"/>
  <c r="Q40" i="3"/>
  <c r="Q39" i="3"/>
  <c r="Q38" i="3"/>
  <c r="Q37" i="3"/>
  <c r="Q36" i="3"/>
  <c r="Q34" i="3"/>
  <c r="Q33" i="3"/>
  <c r="Q32" i="3"/>
  <c r="Q30" i="3"/>
  <c r="Q28" i="3"/>
  <c r="Q26" i="3"/>
  <c r="Q25" i="3"/>
  <c r="Q24" i="3"/>
  <c r="Q22" i="3"/>
  <c r="Q21" i="3"/>
  <c r="Q20" i="3"/>
  <c r="Q19" i="3"/>
  <c r="Q18" i="3"/>
  <c r="Q17" i="3"/>
  <c r="Q16" i="3"/>
  <c r="Q15" i="3"/>
  <c r="Q14" i="3"/>
  <c r="Q12" i="3"/>
  <c r="Q11" i="3"/>
  <c r="Q10" i="3"/>
  <c r="Q9" i="3"/>
  <c r="Q8" i="3"/>
  <c r="Q7" i="3"/>
  <c r="Q6" i="3"/>
  <c r="P49" i="3"/>
  <c r="P48" i="3"/>
  <c r="P47" i="3"/>
  <c r="P46" i="3"/>
  <c r="P38" i="3"/>
  <c r="P30" i="3"/>
  <c r="P29" i="3"/>
  <c r="P28" i="3"/>
  <c r="P27" i="3"/>
  <c r="P25" i="3"/>
  <c r="P24" i="3"/>
  <c r="P23" i="3"/>
  <c r="P22" i="3"/>
  <c r="P21" i="3"/>
  <c r="P20" i="3"/>
  <c r="P19" i="3"/>
  <c r="P18" i="3"/>
  <c r="P17" i="3"/>
  <c r="P16" i="3"/>
  <c r="P15" i="3"/>
  <c r="P12" i="3"/>
  <c r="P11" i="3"/>
  <c r="P10" i="3"/>
  <c r="P8" i="3"/>
  <c r="P7" i="3"/>
  <c r="P6" i="3"/>
  <c r="O67" i="3"/>
  <c r="O66" i="3"/>
  <c r="O65" i="3"/>
  <c r="O64" i="3"/>
  <c r="O63" i="3"/>
  <c r="O62" i="3"/>
  <c r="O61" i="3"/>
  <c r="O60" i="3"/>
  <c r="O59" i="3"/>
  <c r="O58" i="3"/>
  <c r="O57" i="3"/>
  <c r="O56" i="3"/>
  <c r="O55" i="3"/>
  <c r="O54" i="3"/>
  <c r="O53" i="3"/>
  <c r="O52" i="3"/>
  <c r="V52" i="3" s="1"/>
  <c r="O51" i="3"/>
  <c r="O50" i="3"/>
  <c r="O49" i="3"/>
  <c r="O48" i="3"/>
  <c r="O47" i="3"/>
  <c r="O46" i="3"/>
  <c r="O45" i="3"/>
  <c r="O44" i="3"/>
  <c r="O43" i="3"/>
  <c r="O42" i="3"/>
  <c r="O41" i="3"/>
  <c r="O40" i="3"/>
  <c r="O39" i="3"/>
  <c r="O38" i="3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O6" i="3"/>
  <c r="I23" i="3"/>
  <c r="L6" i="3"/>
  <c r="R52" i="3" l="1"/>
  <c r="R9" i="3"/>
  <c r="R13" i="3"/>
  <c r="R17" i="3"/>
  <c r="R21" i="3"/>
  <c r="R25" i="3"/>
  <c r="R29" i="3"/>
  <c r="R33" i="3"/>
  <c r="R37" i="3"/>
  <c r="R41" i="3"/>
  <c r="R45" i="3"/>
  <c r="R49" i="3"/>
  <c r="R53" i="3"/>
  <c r="R57" i="3"/>
  <c r="R61" i="3"/>
  <c r="R65" i="3"/>
  <c r="R20" i="3"/>
  <c r="R56" i="3"/>
  <c r="R11" i="3"/>
  <c r="R15" i="3"/>
  <c r="R19" i="3"/>
  <c r="R23" i="3"/>
  <c r="R27" i="3"/>
  <c r="R31" i="3"/>
  <c r="R35" i="3"/>
  <c r="R39" i="3"/>
  <c r="R43" i="3"/>
  <c r="R47" i="3"/>
  <c r="R51" i="3"/>
  <c r="R55" i="3"/>
  <c r="R59" i="3"/>
  <c r="R63" i="3"/>
  <c r="R67" i="3"/>
  <c r="R16" i="3"/>
  <c r="R10" i="3"/>
  <c r="R14" i="3"/>
  <c r="R18" i="3"/>
  <c r="R22" i="3"/>
  <c r="R26" i="3"/>
  <c r="R30" i="3"/>
  <c r="R34" i="3"/>
  <c r="R38" i="3"/>
  <c r="R42" i="3"/>
  <c r="R46" i="3"/>
  <c r="R50" i="3"/>
  <c r="R54" i="3"/>
  <c r="R58" i="3"/>
  <c r="R62" i="3"/>
  <c r="R66" i="3"/>
  <c r="R28" i="3"/>
  <c r="R24" i="3"/>
  <c r="R36" i="3"/>
  <c r="R40" i="3"/>
  <c r="R44" i="3"/>
  <c r="R32" i="3"/>
  <c r="R60" i="3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I52" i="3"/>
  <c r="N52" i="3" s="1"/>
  <c r="I61" i="3"/>
  <c r="I56" i="3"/>
  <c r="I47" i="3" l="1"/>
  <c r="I46" i="3"/>
  <c r="I28" i="3"/>
  <c r="L12" i="3"/>
  <c r="L11" i="3"/>
  <c r="I65" i="3" l="1"/>
  <c r="I55" i="3"/>
  <c r="I53" i="3"/>
  <c r="I50" i="3"/>
  <c r="I41" i="3"/>
  <c r="L21" i="3"/>
  <c r="L20" i="3"/>
  <c r="L19" i="3"/>
  <c r="L13" i="3"/>
  <c r="I12" i="3"/>
  <c r="L8" i="3"/>
  <c r="L7" i="3"/>
  <c r="L20" i="6"/>
  <c r="L5" i="6"/>
  <c r="I58" i="3"/>
  <c r="I42" i="3"/>
  <c r="I38" i="3"/>
  <c r="I20" i="3"/>
  <c r="I64" i="3"/>
  <c r="I59" i="3"/>
  <c r="I54" i="3"/>
  <c r="M14" i="3"/>
  <c r="I14" i="3"/>
  <c r="I13" i="3"/>
  <c r="I6" i="3"/>
  <c r="N61" i="3"/>
  <c r="F25" i="6" l="1"/>
  <c r="L24" i="3" l="1"/>
  <c r="L25" i="3"/>
  <c r="L28" i="3"/>
  <c r="L29" i="3"/>
  <c r="L30" i="3"/>
  <c r="L38" i="3"/>
  <c r="L46" i="3"/>
  <c r="L47" i="3"/>
  <c r="L49" i="3"/>
  <c r="E105" i="8"/>
  <c r="D105" i="8"/>
  <c r="A81" i="8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E76" i="8"/>
  <c r="D76" i="8"/>
  <c r="A62" i="8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61" i="8"/>
  <c r="E57" i="8"/>
  <c r="D57" i="8"/>
  <c r="A4" i="8"/>
  <c r="A5" i="8" s="1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3" i="8"/>
  <c r="O21" i="6"/>
  <c r="H21" i="6"/>
  <c r="O19" i="6"/>
  <c r="O15" i="6"/>
  <c r="O11" i="6"/>
  <c r="O7" i="6"/>
  <c r="O5" i="6"/>
  <c r="I9" i="6"/>
  <c r="I8" i="6"/>
  <c r="I12" i="6"/>
  <c r="K24" i="6"/>
  <c r="N24" i="6" s="1"/>
  <c r="H24" i="6"/>
  <c r="J24" i="6" s="1"/>
  <c r="I23" i="6"/>
  <c r="I16" i="6"/>
  <c r="I15" i="6"/>
  <c r="I18" i="6"/>
  <c r="I19" i="6"/>
  <c r="I20" i="6"/>
  <c r="I14" i="6"/>
  <c r="I13" i="6"/>
  <c r="I22" i="6"/>
  <c r="I11" i="6"/>
  <c r="I17" i="6"/>
  <c r="I10" i="6"/>
  <c r="I7" i="6"/>
  <c r="I5" i="6"/>
  <c r="I6" i="6"/>
  <c r="L25" i="6"/>
  <c r="F31" i="6" s="1"/>
  <c r="O6" i="6"/>
  <c r="O8" i="6"/>
  <c r="O9" i="6"/>
  <c r="O10" i="6"/>
  <c r="O12" i="6"/>
  <c r="O13" i="6"/>
  <c r="O14" i="6"/>
  <c r="O16" i="6"/>
  <c r="O17" i="6"/>
  <c r="O18" i="6"/>
  <c r="O20" i="6"/>
  <c r="O23" i="6"/>
  <c r="M25" i="6"/>
  <c r="I25" i="6" l="1"/>
  <c r="F28" i="6" s="1"/>
  <c r="G25" i="6"/>
  <c r="O22" i="6"/>
  <c r="O25" i="6" s="1"/>
  <c r="K6" i="6"/>
  <c r="N6" i="6" s="1"/>
  <c r="K7" i="6"/>
  <c r="N7" i="6" s="1"/>
  <c r="K8" i="6"/>
  <c r="N8" i="6" s="1"/>
  <c r="K9" i="6"/>
  <c r="N9" i="6" s="1"/>
  <c r="K10" i="6"/>
  <c r="N10" i="6" s="1"/>
  <c r="K11" i="6"/>
  <c r="N11" i="6" s="1"/>
  <c r="K12" i="6"/>
  <c r="N12" i="6" s="1"/>
  <c r="K13" i="6"/>
  <c r="N13" i="6" s="1"/>
  <c r="K14" i="6"/>
  <c r="N14" i="6" s="1"/>
  <c r="K15" i="6"/>
  <c r="N15" i="6" s="1"/>
  <c r="K16" i="6"/>
  <c r="N16" i="6" s="1"/>
  <c r="K17" i="6"/>
  <c r="N17" i="6" s="1"/>
  <c r="K18" i="6"/>
  <c r="N18" i="6" s="1"/>
  <c r="K19" i="6"/>
  <c r="N19" i="6" s="1"/>
  <c r="K20" i="6"/>
  <c r="N20" i="6" s="1"/>
  <c r="K22" i="6"/>
  <c r="N22" i="6" s="1"/>
  <c r="K23" i="6"/>
  <c r="N23" i="6" s="1"/>
  <c r="K5" i="6"/>
  <c r="N5" i="6" s="1"/>
  <c r="H23" i="6"/>
  <c r="J23" i="6" s="1"/>
  <c r="H22" i="6"/>
  <c r="J22" i="6" s="1"/>
  <c r="H20" i="6"/>
  <c r="J20" i="6" s="1"/>
  <c r="H19" i="6"/>
  <c r="J19" i="6" s="1"/>
  <c r="H18" i="6"/>
  <c r="J18" i="6" s="1"/>
  <c r="H17" i="6"/>
  <c r="J17" i="6" s="1"/>
  <c r="H16" i="6"/>
  <c r="J16" i="6" s="1"/>
  <c r="H15" i="6"/>
  <c r="J15" i="6" s="1"/>
  <c r="H14" i="6"/>
  <c r="J14" i="6" s="1"/>
  <c r="H13" i="6"/>
  <c r="J13" i="6" s="1"/>
  <c r="H12" i="6"/>
  <c r="J12" i="6" s="1"/>
  <c r="H11" i="6"/>
  <c r="J11" i="6" s="1"/>
  <c r="H10" i="6"/>
  <c r="J10" i="6" s="1"/>
  <c r="H9" i="6"/>
  <c r="J9" i="6" s="1"/>
  <c r="H8" i="6"/>
  <c r="J8" i="6" s="1"/>
  <c r="H7" i="6"/>
  <c r="J7" i="6" s="1"/>
  <c r="H6" i="6"/>
  <c r="J6" i="6" s="1"/>
  <c r="H5" i="6"/>
  <c r="J5" i="6" s="1"/>
  <c r="F22" i="5"/>
  <c r="G22" i="5"/>
  <c r="H22" i="5"/>
  <c r="I22" i="5"/>
  <c r="E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2" i="5"/>
  <c r="H21" i="5"/>
  <c r="I21" i="5" s="1"/>
  <c r="I20" i="5"/>
  <c r="H19" i="5"/>
  <c r="I19" i="5" s="1"/>
  <c r="I18" i="5"/>
  <c r="H17" i="5"/>
  <c r="I17" i="5" s="1"/>
  <c r="I16" i="5"/>
  <c r="I15" i="5"/>
  <c r="H15" i="5"/>
  <c r="H14" i="5"/>
  <c r="I14" i="5" s="1"/>
  <c r="I13" i="5"/>
  <c r="I12" i="5"/>
  <c r="H12" i="5"/>
  <c r="H11" i="5"/>
  <c r="I11" i="5" s="1"/>
  <c r="H10" i="5"/>
  <c r="I10" i="5" s="1"/>
  <c r="H9" i="5"/>
  <c r="I9" i="5" s="1"/>
  <c r="H8" i="5"/>
  <c r="I8" i="5" s="1"/>
  <c r="I7" i="5"/>
  <c r="H6" i="5"/>
  <c r="I6" i="5" s="1"/>
  <c r="H5" i="5"/>
  <c r="I5" i="5" s="1"/>
  <c r="I4" i="5"/>
  <c r="H4" i="5"/>
  <c r="H3" i="5"/>
  <c r="I3" i="5" s="1"/>
  <c r="H2" i="5"/>
  <c r="I2" i="5" s="1"/>
  <c r="P21" i="4"/>
  <c r="Q21" i="4" s="1"/>
  <c r="P6" i="4"/>
  <c r="P14" i="4"/>
  <c r="P19" i="4"/>
  <c r="Q19" i="4" s="1"/>
  <c r="P10" i="4"/>
  <c r="P9" i="4"/>
  <c r="Q9" i="4" s="1"/>
  <c r="P5" i="4"/>
  <c r="Q5" i="4" s="1"/>
  <c r="P8" i="4"/>
  <c r="Q8" i="4" s="1"/>
  <c r="P11" i="4"/>
  <c r="Q11" i="4" s="1"/>
  <c r="P17" i="4"/>
  <c r="Q17" i="4" s="1"/>
  <c r="P15" i="4"/>
  <c r="P4" i="4"/>
  <c r="Q4" i="4" s="1"/>
  <c r="P3" i="4"/>
  <c r="P2" i="4"/>
  <c r="P12" i="4"/>
  <c r="Q12" i="4" s="1"/>
  <c r="N12" i="4"/>
  <c r="N22" i="4" s="1"/>
  <c r="Q3" i="4"/>
  <c r="Q2" i="4"/>
  <c r="Q6" i="4"/>
  <c r="Q7" i="4"/>
  <c r="Q10" i="4"/>
  <c r="Q13" i="4"/>
  <c r="Q14" i="4"/>
  <c r="Q15" i="4"/>
  <c r="Q16" i="4"/>
  <c r="Q18" i="4"/>
  <c r="Q20" i="4"/>
  <c r="N67" i="3"/>
  <c r="N66" i="3"/>
  <c r="N65" i="3"/>
  <c r="N59" i="3"/>
  <c r="N58" i="3"/>
  <c r="N57" i="3"/>
  <c r="N56" i="3"/>
  <c r="N54" i="3"/>
  <c r="N44" i="3"/>
  <c r="G22" i="4"/>
  <c r="J22" i="4"/>
  <c r="K22" i="4"/>
  <c r="L22" i="4"/>
  <c r="E22" i="4"/>
  <c r="M21" i="4"/>
  <c r="O21" i="4" s="1"/>
  <c r="F21" i="4"/>
  <c r="I21" i="4" s="1"/>
  <c r="M20" i="4"/>
  <c r="O20" i="4" s="1"/>
  <c r="F20" i="4"/>
  <c r="I20" i="4" s="1"/>
  <c r="M19" i="4"/>
  <c r="O19" i="4" s="1"/>
  <c r="F19" i="4"/>
  <c r="I19" i="4" s="1"/>
  <c r="M18" i="4"/>
  <c r="O18" i="4" s="1"/>
  <c r="F18" i="4"/>
  <c r="I18" i="4" s="1"/>
  <c r="M17" i="4"/>
  <c r="O17" i="4" s="1"/>
  <c r="F17" i="4"/>
  <c r="I17" i="4" s="1"/>
  <c r="M16" i="4"/>
  <c r="O16" i="4" s="1"/>
  <c r="F16" i="4"/>
  <c r="I16" i="4" s="1"/>
  <c r="M15" i="4"/>
  <c r="O15" i="4" s="1"/>
  <c r="F15" i="4"/>
  <c r="I15" i="4" s="1"/>
  <c r="M14" i="4"/>
  <c r="O14" i="4" s="1"/>
  <c r="F14" i="4"/>
  <c r="I14" i="4" s="1"/>
  <c r="M13" i="4"/>
  <c r="O13" i="4" s="1"/>
  <c r="F13" i="4"/>
  <c r="I13" i="4" s="1"/>
  <c r="M12" i="4"/>
  <c r="F12" i="4"/>
  <c r="I12" i="4" s="1"/>
  <c r="M11" i="4"/>
  <c r="O11" i="4" s="1"/>
  <c r="F11" i="4"/>
  <c r="I11" i="4" s="1"/>
  <c r="M10" i="4"/>
  <c r="O10" i="4" s="1"/>
  <c r="F10" i="4"/>
  <c r="I10" i="4" s="1"/>
  <c r="M9" i="4"/>
  <c r="O9" i="4" s="1"/>
  <c r="F9" i="4"/>
  <c r="I9" i="4" s="1"/>
  <c r="M8" i="4"/>
  <c r="O8" i="4" s="1"/>
  <c r="F8" i="4"/>
  <c r="I8" i="4" s="1"/>
  <c r="M7" i="4"/>
  <c r="O7" i="4" s="1"/>
  <c r="F7" i="4"/>
  <c r="I7" i="4" s="1"/>
  <c r="M6" i="4"/>
  <c r="O6" i="4" s="1"/>
  <c r="F6" i="4"/>
  <c r="I6" i="4" s="1"/>
  <c r="M5" i="4"/>
  <c r="O5" i="4" s="1"/>
  <c r="F5" i="4"/>
  <c r="I5" i="4" s="1"/>
  <c r="M4" i="4"/>
  <c r="O4" i="4" s="1"/>
  <c r="F4" i="4"/>
  <c r="I4" i="4" s="1"/>
  <c r="M3" i="4"/>
  <c r="O3" i="4" s="1"/>
  <c r="F3" i="4"/>
  <c r="I3" i="4" s="1"/>
  <c r="M2" i="4"/>
  <c r="O2" i="4" s="1"/>
  <c r="F2" i="4"/>
  <c r="I2" i="4" s="1"/>
  <c r="N25" i="6" l="1"/>
  <c r="F32" i="6" s="1"/>
  <c r="J25" i="6"/>
  <c r="F29" i="6" s="1"/>
  <c r="H25" i="6"/>
  <c r="K25" i="6"/>
  <c r="Q22" i="4"/>
  <c r="O12" i="4"/>
  <c r="P22" i="4"/>
  <c r="F22" i="4"/>
  <c r="M22" i="4"/>
  <c r="I22" i="4"/>
  <c r="O22" i="4"/>
  <c r="T62" i="3" l="1"/>
  <c r="V62" i="3" s="1"/>
  <c r="T46" i="3"/>
  <c r="V46" i="3" s="1"/>
  <c r="G69" i="3"/>
  <c r="R68" i="3"/>
  <c r="T9" i="3"/>
  <c r="T10" i="3"/>
  <c r="T11" i="3"/>
  <c r="V11" i="3" s="1"/>
  <c r="T15" i="3"/>
  <c r="V15" i="3" s="1"/>
  <c r="T19" i="3"/>
  <c r="V19" i="3" s="1"/>
  <c r="T20" i="3"/>
  <c r="V20" i="3" s="1"/>
  <c r="T21" i="3"/>
  <c r="V21" i="3" s="1"/>
  <c r="T22" i="3"/>
  <c r="V22" i="3" s="1"/>
  <c r="T24" i="3"/>
  <c r="V24" i="3" s="1"/>
  <c r="T26" i="3"/>
  <c r="V26" i="3" s="1"/>
  <c r="T27" i="3"/>
  <c r="V27" i="3" s="1"/>
  <c r="T28" i="3"/>
  <c r="V28" i="3" s="1"/>
  <c r="T29" i="3"/>
  <c r="V29" i="3" s="1"/>
  <c r="T30" i="3"/>
  <c r="V30" i="3" s="1"/>
  <c r="T31" i="3"/>
  <c r="V31" i="3" s="1"/>
  <c r="T32" i="3"/>
  <c r="V32" i="3" s="1"/>
  <c r="T33" i="3"/>
  <c r="V33" i="3" s="1"/>
  <c r="T34" i="3"/>
  <c r="V34" i="3" s="1"/>
  <c r="T35" i="3"/>
  <c r="V35" i="3" s="1"/>
  <c r="T36" i="3"/>
  <c r="V36" i="3" s="1"/>
  <c r="T37" i="3"/>
  <c r="V37" i="3" s="1"/>
  <c r="T38" i="3"/>
  <c r="V38" i="3" s="1"/>
  <c r="T39" i="3"/>
  <c r="V39" i="3" s="1"/>
  <c r="T40" i="3"/>
  <c r="V40" i="3" s="1"/>
  <c r="T41" i="3"/>
  <c r="V41" i="3" s="1"/>
  <c r="T42" i="3"/>
  <c r="V42" i="3" s="1"/>
  <c r="T43" i="3"/>
  <c r="V43" i="3" s="1"/>
  <c r="T44" i="3"/>
  <c r="V44" i="3" s="1"/>
  <c r="T45" i="3"/>
  <c r="V45" i="3" s="1"/>
  <c r="T47" i="3"/>
  <c r="V47" i="3" s="1"/>
  <c r="T48" i="3"/>
  <c r="V48" i="3" s="1"/>
  <c r="T49" i="3"/>
  <c r="V49" i="3" s="1"/>
  <c r="T50" i="3"/>
  <c r="V50" i="3" s="1"/>
  <c r="T51" i="3"/>
  <c r="V51" i="3" s="1"/>
  <c r="T53" i="3"/>
  <c r="V53" i="3" s="1"/>
  <c r="T54" i="3"/>
  <c r="V54" i="3" s="1"/>
  <c r="T55" i="3"/>
  <c r="V55" i="3" s="1"/>
  <c r="T56" i="3"/>
  <c r="V56" i="3" s="1"/>
  <c r="T57" i="3"/>
  <c r="V57" i="3" s="1"/>
  <c r="T58" i="3"/>
  <c r="V58" i="3" s="1"/>
  <c r="T59" i="3"/>
  <c r="V59" i="3" s="1"/>
  <c r="T60" i="3"/>
  <c r="V60" i="3" s="1"/>
  <c r="T61" i="3"/>
  <c r="V61" i="3" s="1"/>
  <c r="T63" i="3"/>
  <c r="V63" i="3" s="1"/>
  <c r="T64" i="3"/>
  <c r="V64" i="3" s="1"/>
  <c r="T65" i="3"/>
  <c r="V65" i="3" s="1"/>
  <c r="T66" i="3"/>
  <c r="V66" i="3" s="1"/>
  <c r="T67" i="3"/>
  <c r="V67" i="3" s="1"/>
  <c r="T68" i="3"/>
  <c r="V68" i="3" s="1"/>
  <c r="I63" i="3"/>
  <c r="N60" i="3"/>
  <c r="N55" i="3"/>
  <c r="N53" i="3"/>
  <c r="N51" i="3"/>
  <c r="N50" i="3"/>
  <c r="N49" i="3"/>
  <c r="I45" i="3"/>
  <c r="I37" i="3"/>
  <c r="I34" i="3"/>
  <c r="N34" i="3" s="1"/>
  <c r="I33" i="3"/>
  <c r="N31" i="3"/>
  <c r="H31" i="3"/>
  <c r="N29" i="3"/>
  <c r="I27" i="3"/>
  <c r="I25" i="3"/>
  <c r="I24" i="3"/>
  <c r="I22" i="3"/>
  <c r="N22" i="3" s="1"/>
  <c r="I21" i="3"/>
  <c r="T8" i="3" l="1"/>
  <c r="V8" i="3" s="1"/>
  <c r="N24" i="3"/>
  <c r="N45" i="3"/>
  <c r="N47" i="3"/>
  <c r="N23" i="3"/>
  <c r="N38" i="3"/>
  <c r="N48" i="3"/>
  <c r="N64" i="3"/>
  <c r="T12" i="3"/>
  <c r="V12" i="3" s="1"/>
  <c r="T23" i="3"/>
  <c r="V23" i="3" s="1"/>
  <c r="J31" i="3"/>
  <c r="T17" i="3"/>
  <c r="V17" i="3" s="1"/>
  <c r="N28" i="3"/>
  <c r="N46" i="3"/>
  <c r="N63" i="3"/>
  <c r="T7" i="3"/>
  <c r="V7" i="3" s="1"/>
  <c r="T13" i="3"/>
  <c r="V13" i="3" s="1"/>
  <c r="T18" i="3"/>
  <c r="V18" i="3" s="1"/>
  <c r="T16" i="3"/>
  <c r="V16" i="3" s="1"/>
  <c r="T25" i="3"/>
  <c r="V25" i="3" s="1"/>
  <c r="N21" i="3"/>
  <c r="N25" i="3"/>
  <c r="N27" i="3"/>
  <c r="N33" i="3"/>
  <c r="N37" i="3"/>
  <c r="T6" i="3"/>
  <c r="V6" i="3" s="1"/>
  <c r="T14" i="3"/>
  <c r="V14" i="3" s="1"/>
  <c r="I19" i="3"/>
  <c r="I16" i="3"/>
  <c r="N13" i="3"/>
  <c r="N12" i="3"/>
  <c r="I11" i="3"/>
  <c r="I9" i="3"/>
  <c r="N19" i="3" l="1"/>
  <c r="N11" i="3"/>
  <c r="N17" i="3"/>
  <c r="N18" i="3"/>
  <c r="V69" i="3"/>
  <c r="N16" i="3"/>
  <c r="N20" i="3"/>
  <c r="T69" i="3"/>
  <c r="I8" i="3"/>
  <c r="I7" i="3"/>
  <c r="N7" i="3" l="1"/>
  <c r="K69" i="3"/>
  <c r="N8" i="3"/>
  <c r="I3" i="1"/>
  <c r="K65" i="1"/>
  <c r="K64" i="1"/>
  <c r="K63" i="1"/>
  <c r="K62" i="1"/>
  <c r="K61" i="1"/>
  <c r="K60" i="1"/>
  <c r="K59" i="1"/>
  <c r="K58" i="1"/>
  <c r="K57" i="1"/>
  <c r="K54" i="1"/>
  <c r="K52" i="1"/>
  <c r="K51" i="1"/>
  <c r="K50" i="1"/>
  <c r="K48" i="1"/>
  <c r="K45" i="1"/>
  <c r="K38" i="1"/>
  <c r="K37" i="1"/>
  <c r="K34" i="1"/>
  <c r="O31" i="1"/>
  <c r="M31" i="1"/>
  <c r="N31" i="1" s="1"/>
  <c r="K30" i="1"/>
  <c r="K29" i="1"/>
  <c r="J29" i="1"/>
  <c r="K26" i="1"/>
  <c r="K23" i="1"/>
  <c r="K22" i="1"/>
  <c r="K20" i="1"/>
  <c r="K19" i="1"/>
  <c r="K17" i="1"/>
  <c r="K16" i="1"/>
  <c r="K15" i="1"/>
  <c r="K14" i="1"/>
  <c r="K11" i="1"/>
  <c r="K10" i="1"/>
  <c r="K9" i="1"/>
  <c r="K8" i="1"/>
  <c r="K7" i="1"/>
  <c r="K6" i="1"/>
  <c r="W8" i="3"/>
  <c r="N14" i="3"/>
  <c r="W9" i="3"/>
  <c r="Z9" i="3" s="1"/>
  <c r="W44" i="3"/>
  <c r="Z44" i="3" s="1"/>
  <c r="W45" i="3"/>
  <c r="Z45" i="3" s="1"/>
  <c r="W48" i="3"/>
  <c r="Z48" i="3" s="1"/>
  <c r="W49" i="3"/>
  <c r="Z49" i="3" s="1"/>
  <c r="W50" i="3"/>
  <c r="Z50" i="3" s="1"/>
  <c r="Z51" i="3"/>
  <c r="W53" i="3"/>
  <c r="Z53" i="3" s="1"/>
  <c r="W54" i="3"/>
  <c r="Z54" i="3" s="1"/>
  <c r="W55" i="3"/>
  <c r="Z55" i="3" s="1"/>
  <c r="W56" i="3"/>
  <c r="Z56" i="3" s="1"/>
  <c r="W57" i="3"/>
  <c r="Z57" i="3" s="1"/>
  <c r="W58" i="3"/>
  <c r="Z58" i="3" s="1"/>
  <c r="W59" i="3"/>
  <c r="Z59" i="3" s="1"/>
  <c r="W60" i="3"/>
  <c r="Z60" i="3" s="1"/>
  <c r="W61" i="3"/>
  <c r="Z61" i="3" s="1"/>
  <c r="W66" i="3"/>
  <c r="Z66" i="3" s="1"/>
  <c r="W67" i="3"/>
  <c r="Z67" i="3" s="1"/>
  <c r="I62" i="3"/>
  <c r="N62" i="3" s="1"/>
  <c r="N43" i="3"/>
  <c r="N42" i="3"/>
  <c r="N41" i="3"/>
  <c r="I40" i="3"/>
  <c r="N40" i="3" s="1"/>
  <c r="I39" i="3"/>
  <c r="N39" i="3" s="1"/>
  <c r="I36" i="3"/>
  <c r="N36" i="3" s="1"/>
  <c r="N35" i="3"/>
  <c r="I32" i="3"/>
  <c r="N32" i="3" s="1"/>
  <c r="I30" i="3"/>
  <c r="N30" i="3" s="1"/>
  <c r="I26" i="3"/>
  <c r="N26" i="3" s="1"/>
  <c r="I15" i="3"/>
  <c r="N15" i="3" s="1"/>
  <c r="H7" i="3"/>
  <c r="H8" i="3"/>
  <c r="H9" i="3"/>
  <c r="J9" i="3" s="1"/>
  <c r="H10" i="3"/>
  <c r="J10" i="3" s="1"/>
  <c r="H11" i="3"/>
  <c r="H12" i="3"/>
  <c r="J12" i="3" s="1"/>
  <c r="H13" i="3"/>
  <c r="H14" i="3"/>
  <c r="H15" i="3"/>
  <c r="H16" i="3"/>
  <c r="H17" i="3"/>
  <c r="H18" i="3"/>
  <c r="H19" i="3"/>
  <c r="H20" i="3"/>
  <c r="H21" i="3"/>
  <c r="H22" i="3"/>
  <c r="J22" i="3" s="1"/>
  <c r="H23" i="3"/>
  <c r="H24" i="3"/>
  <c r="H25" i="3"/>
  <c r="H26" i="3"/>
  <c r="H27" i="3"/>
  <c r="H28" i="3"/>
  <c r="J28" i="3" s="1"/>
  <c r="H29" i="3"/>
  <c r="H30" i="3"/>
  <c r="H32" i="3"/>
  <c r="H33" i="3"/>
  <c r="H34" i="3"/>
  <c r="J34" i="3" s="1"/>
  <c r="H35" i="3"/>
  <c r="H36" i="3"/>
  <c r="H37" i="3"/>
  <c r="H38" i="3"/>
  <c r="J38" i="3" s="1"/>
  <c r="H39" i="3"/>
  <c r="H40" i="3"/>
  <c r="H41" i="3"/>
  <c r="H42" i="3"/>
  <c r="J42" i="3" s="1"/>
  <c r="H43" i="3"/>
  <c r="H44" i="3"/>
  <c r="J44" i="3" s="1"/>
  <c r="H45" i="3"/>
  <c r="J45" i="3" s="1"/>
  <c r="H46" i="3"/>
  <c r="H47" i="3"/>
  <c r="J47" i="3" s="1"/>
  <c r="H48" i="3"/>
  <c r="J48" i="3" s="1"/>
  <c r="H49" i="3"/>
  <c r="J49" i="3" s="1"/>
  <c r="H50" i="3"/>
  <c r="J50" i="3" s="1"/>
  <c r="H51" i="3"/>
  <c r="J51" i="3" s="1"/>
  <c r="H53" i="3"/>
  <c r="J53" i="3" s="1"/>
  <c r="H54" i="3"/>
  <c r="J54" i="3" s="1"/>
  <c r="H55" i="3"/>
  <c r="J55" i="3" s="1"/>
  <c r="H56" i="3"/>
  <c r="J56" i="3" s="1"/>
  <c r="H57" i="3"/>
  <c r="J57" i="3" s="1"/>
  <c r="H58" i="3"/>
  <c r="J58" i="3" s="1"/>
  <c r="H59" i="3"/>
  <c r="J59" i="3" s="1"/>
  <c r="H60" i="3"/>
  <c r="J60" i="3" s="1"/>
  <c r="H61" i="3"/>
  <c r="J61" i="3" s="1"/>
  <c r="H62" i="3"/>
  <c r="H63" i="3"/>
  <c r="H64" i="3"/>
  <c r="H65" i="3"/>
  <c r="H66" i="3"/>
  <c r="J66" i="3" s="1"/>
  <c r="H67" i="3"/>
  <c r="J67" i="3" s="1"/>
  <c r="H6" i="3"/>
  <c r="Q2" i="3"/>
  <c r="J13" i="1"/>
  <c r="K13" i="1"/>
  <c r="K44" i="1"/>
  <c r="K41" i="1"/>
  <c r="M36" i="1"/>
  <c r="N2" i="1"/>
  <c r="J33" i="3" l="1"/>
  <c r="J20" i="3"/>
  <c r="J23" i="3"/>
  <c r="J64" i="3"/>
  <c r="J43" i="3"/>
  <c r="J39" i="3"/>
  <c r="J35" i="3"/>
  <c r="J30" i="3"/>
  <c r="J26" i="3"/>
  <c r="J18" i="3"/>
  <c r="J14" i="3"/>
  <c r="J63" i="3"/>
  <c r="J46" i="3"/>
  <c r="J25" i="3"/>
  <c r="J21" i="3"/>
  <c r="J17" i="3"/>
  <c r="W15" i="3"/>
  <c r="Z15" i="3" s="1"/>
  <c r="W30" i="3"/>
  <c r="Z30" i="3" s="1"/>
  <c r="W36" i="3"/>
  <c r="Z36" i="3" s="1"/>
  <c r="W40" i="3"/>
  <c r="Z40" i="3" s="1"/>
  <c r="W62" i="3"/>
  <c r="Z62" i="3" s="1"/>
  <c r="W16" i="3"/>
  <c r="Z16" i="3" s="1"/>
  <c r="W29" i="3"/>
  <c r="Z29" i="3" s="1"/>
  <c r="J29" i="3"/>
  <c r="J13" i="3"/>
  <c r="W32" i="3"/>
  <c r="Z32" i="3" s="1"/>
  <c r="W37" i="3"/>
  <c r="Z37" i="3" s="1"/>
  <c r="W41" i="3"/>
  <c r="Z41" i="3" s="1"/>
  <c r="W65" i="3"/>
  <c r="Z65" i="3" s="1"/>
  <c r="W10" i="3"/>
  <c r="Z10" i="3" s="1"/>
  <c r="J62" i="3"/>
  <c r="J41" i="3"/>
  <c r="J37" i="3"/>
  <c r="J24" i="3"/>
  <c r="J16" i="3"/>
  <c r="J8" i="3"/>
  <c r="W24" i="3"/>
  <c r="Z24" i="3" s="1"/>
  <c r="W34" i="3"/>
  <c r="Z34" i="3" s="1"/>
  <c r="W38" i="3"/>
  <c r="Z38" i="3" s="1"/>
  <c r="W42" i="3"/>
  <c r="Z42" i="3" s="1"/>
  <c r="W11" i="3"/>
  <c r="Z11" i="3" s="1"/>
  <c r="W22" i="3"/>
  <c r="Z22" i="3" s="1"/>
  <c r="J65" i="3"/>
  <c r="J40" i="3"/>
  <c r="J36" i="3"/>
  <c r="J32" i="3"/>
  <c r="J27" i="3"/>
  <c r="J19" i="3"/>
  <c r="J15" i="3"/>
  <c r="J11" i="3"/>
  <c r="J7" i="3"/>
  <c r="W26" i="3"/>
  <c r="Z26" i="3" s="1"/>
  <c r="W35" i="3"/>
  <c r="Z35" i="3" s="1"/>
  <c r="W39" i="3"/>
  <c r="Z39" i="3" s="1"/>
  <c r="W43" i="3"/>
  <c r="Z43" i="3" s="1"/>
  <c r="W14" i="3"/>
  <c r="Z14" i="3" s="1"/>
  <c r="W23" i="3"/>
  <c r="Z23" i="3" s="1"/>
  <c r="W33" i="3"/>
  <c r="Z33" i="3" s="1"/>
  <c r="J6" i="3"/>
  <c r="W13" i="3"/>
  <c r="Z13" i="3" s="1"/>
  <c r="W20" i="3"/>
  <c r="Z20" i="3" s="1"/>
  <c r="W63" i="3"/>
  <c r="Z63" i="3" s="1"/>
  <c r="W12" i="3"/>
  <c r="Z12" i="3" s="1"/>
  <c r="W64" i="3"/>
  <c r="Z64" i="3" s="1"/>
  <c r="W19" i="3"/>
  <c r="Z19" i="3" s="1"/>
  <c r="W6" i="3"/>
  <c r="Z6" i="3" s="1"/>
  <c r="W47" i="3"/>
  <c r="Z47" i="3" s="1"/>
  <c r="W25" i="3"/>
  <c r="Z25" i="3" s="1"/>
  <c r="W46" i="3"/>
  <c r="Z46" i="3" s="1"/>
  <c r="W28" i="3"/>
  <c r="Z28" i="3" s="1"/>
  <c r="W27" i="3"/>
  <c r="Z27" i="3" s="1"/>
  <c r="W21" i="3"/>
  <c r="Z21" i="3" s="1"/>
  <c r="Z8" i="3"/>
  <c r="W7" i="3"/>
  <c r="Z7" i="3" s="1"/>
  <c r="W17" i="3"/>
  <c r="Z17" i="3" s="1"/>
  <c r="W18" i="3"/>
  <c r="Z18" i="3" s="1"/>
  <c r="H69" i="3"/>
  <c r="I69" i="3"/>
  <c r="K27" i="1"/>
  <c r="M27" i="1" s="1"/>
  <c r="M26" i="1"/>
  <c r="K25" i="1"/>
  <c r="J23" i="1"/>
  <c r="M23" i="1" s="1"/>
  <c r="M18" i="1"/>
  <c r="M19" i="1"/>
  <c r="M20" i="1"/>
  <c r="M21" i="1"/>
  <c r="M22" i="1"/>
  <c r="M24" i="1"/>
  <c r="M25" i="1"/>
  <c r="M28" i="1"/>
  <c r="M29" i="1"/>
  <c r="M30" i="1"/>
  <c r="M32" i="1"/>
  <c r="M33" i="1"/>
  <c r="M34" i="1"/>
  <c r="M35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17" i="1"/>
  <c r="K12" i="1"/>
  <c r="J11" i="1"/>
  <c r="M9" i="1"/>
  <c r="M10" i="1"/>
  <c r="J8" i="1"/>
  <c r="I7" i="1"/>
  <c r="J69" i="3" l="1"/>
  <c r="W69" i="3"/>
  <c r="Z69" i="3" s="1"/>
  <c r="O69" i="3"/>
  <c r="S69" i="3"/>
  <c r="M7" i="1"/>
  <c r="K75" i="1"/>
  <c r="M8" i="1"/>
  <c r="J75" i="1"/>
  <c r="N9" i="1"/>
  <c r="N10" i="1"/>
  <c r="M11" i="1"/>
  <c r="N11" i="1" s="1"/>
  <c r="M12" i="1"/>
  <c r="N12" i="1" s="1"/>
  <c r="M13" i="1"/>
  <c r="N13" i="1" s="1"/>
  <c r="M14" i="1"/>
  <c r="N14" i="1" s="1"/>
  <c r="M15" i="1"/>
  <c r="N15" i="1" s="1"/>
  <c r="M16" i="1"/>
  <c r="N16" i="1" s="1"/>
  <c r="O21" i="1"/>
  <c r="N22" i="1"/>
  <c r="N24" i="1"/>
  <c r="N27" i="1"/>
  <c r="N28" i="1"/>
  <c r="N32" i="1"/>
  <c r="N36" i="1"/>
  <c r="N40" i="1"/>
  <c r="N44" i="1"/>
  <c r="N48" i="1"/>
  <c r="N52" i="1"/>
  <c r="N56" i="1"/>
  <c r="N60" i="1"/>
  <c r="N64" i="1"/>
  <c r="I6" i="1"/>
  <c r="G230" i="2"/>
  <c r="F230" i="2"/>
  <c r="E230" i="2"/>
  <c r="D230" i="2"/>
  <c r="H75" i="1"/>
  <c r="G75" i="1"/>
  <c r="F75" i="1"/>
  <c r="C75" i="1"/>
  <c r="M74" i="1"/>
  <c r="M73" i="1"/>
  <c r="N66" i="1"/>
  <c r="N65" i="1"/>
  <c r="N63" i="1"/>
  <c r="N62" i="1"/>
  <c r="N61" i="1"/>
  <c r="N59" i="1"/>
  <c r="N58" i="1"/>
  <c r="N57" i="1"/>
  <c r="N55" i="1"/>
  <c r="N54" i="1"/>
  <c r="N53" i="1"/>
  <c r="N51" i="1"/>
  <c r="N50" i="1"/>
  <c r="N49" i="1"/>
  <c r="N47" i="1"/>
  <c r="N46" i="1"/>
  <c r="N45" i="1"/>
  <c r="N43" i="1"/>
  <c r="N42" i="1"/>
  <c r="N41" i="1"/>
  <c r="N39" i="1"/>
  <c r="N38" i="1"/>
  <c r="N37" i="1"/>
  <c r="N35" i="1"/>
  <c r="N34" i="1"/>
  <c r="N33" i="1"/>
  <c r="N30" i="1"/>
  <c r="O30" i="1"/>
  <c r="N29" i="1"/>
  <c r="O29" i="1"/>
  <c r="O28" i="1"/>
  <c r="N26" i="1"/>
  <c r="O26" i="1"/>
  <c r="O22" i="1"/>
  <c r="N20" i="1"/>
  <c r="O20" i="1"/>
  <c r="N18" i="1"/>
  <c r="N17" i="1"/>
  <c r="N8" i="1"/>
  <c r="N7" i="1"/>
  <c r="I75" i="1"/>
  <c r="D75" i="1" l="1"/>
  <c r="Q69" i="3"/>
  <c r="O27" i="1"/>
  <c r="O8" i="1"/>
  <c r="O7" i="1"/>
  <c r="N21" i="1"/>
  <c r="O24" i="1"/>
  <c r="N19" i="1"/>
  <c r="O19" i="1"/>
  <c r="O25" i="1"/>
  <c r="N25" i="1"/>
  <c r="M6" i="1"/>
  <c r="M75" i="1" s="1"/>
  <c r="O9" i="1"/>
  <c r="O10" i="1"/>
  <c r="O12" i="1"/>
  <c r="O13" i="1"/>
  <c r="O14" i="1"/>
  <c r="O15" i="1"/>
  <c r="O16" i="1"/>
  <c r="O17" i="1"/>
  <c r="O18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11" i="1"/>
  <c r="N23" i="1" l="1"/>
  <c r="O23" i="1"/>
  <c r="O6" i="1"/>
  <c r="N6" i="1"/>
  <c r="N75" i="1" l="1"/>
  <c r="O75" i="1"/>
  <c r="L69" i="3"/>
  <c r="N6" i="3"/>
  <c r="N69" i="3" s="1"/>
</calcChain>
</file>

<file path=xl/sharedStrings.xml><?xml version="1.0" encoding="utf-8"?>
<sst xmlns="http://schemas.openxmlformats.org/spreadsheetml/2006/main" count="1357" uniqueCount="243">
  <si>
    <t>Name of firm/company:</t>
  </si>
  <si>
    <t>Modi Realty Mallapur LLP</t>
  </si>
  <si>
    <t>Prepared by:</t>
  </si>
  <si>
    <t>Rajyalakshmi</t>
  </si>
  <si>
    <t>Name of project:</t>
  </si>
  <si>
    <t>Gulmohar Residency</t>
  </si>
  <si>
    <t>Date:</t>
  </si>
  <si>
    <t>Details required as per RERA rules.</t>
  </si>
  <si>
    <t>Sl no</t>
  </si>
  <si>
    <t>Unit no.</t>
  </si>
  <si>
    <t>Super-built-uprea in sft</t>
  </si>
  <si>
    <t>Sale rate in Rs/sft</t>
  </si>
  <si>
    <t>Buyer name</t>
  </si>
  <si>
    <t>Total sale consideration in Rs.</t>
  </si>
  <si>
    <t>Receipts  - FY 17-18</t>
  </si>
  <si>
    <t>Receipts - FY 18-19</t>
  </si>
  <si>
    <t>Receipts -     FY 19-20</t>
  </si>
  <si>
    <t>Receipts -     FY 20-21</t>
  </si>
  <si>
    <t>Receipts -          FY 21-22</t>
  </si>
  <si>
    <t>Total Receipts</t>
  </si>
  <si>
    <t>Balance receivable</t>
  </si>
  <si>
    <t>Total Receipts without GST</t>
  </si>
  <si>
    <t>TOTAL</t>
  </si>
  <si>
    <t>Units Details</t>
  </si>
  <si>
    <t>Sl. No.</t>
  </si>
  <si>
    <t>Block</t>
  </si>
  <si>
    <t>Unit No.</t>
  </si>
  <si>
    <t>Carpet area in sft</t>
  </si>
  <si>
    <t>Built-up area in sft</t>
  </si>
  <si>
    <t>Super built-up area in sft</t>
  </si>
  <si>
    <t>Undivided share of land or plot area in sq yds</t>
  </si>
  <si>
    <t>Status - Mortgaged to local authority</t>
  </si>
  <si>
    <t>Allotted to Owner / Developer</t>
  </si>
  <si>
    <t>A</t>
  </si>
  <si>
    <t>sold</t>
  </si>
  <si>
    <t>Developer</t>
  </si>
  <si>
    <t>B</t>
  </si>
  <si>
    <t>unsold</t>
  </si>
  <si>
    <t>C</t>
  </si>
  <si>
    <t>D</t>
  </si>
  <si>
    <t>E</t>
  </si>
  <si>
    <t>F</t>
  </si>
  <si>
    <t>G</t>
  </si>
  <si>
    <t>H</t>
  </si>
  <si>
    <t>Total</t>
  </si>
  <si>
    <t>Modi Housing Pvt Ltd SOV-III</t>
  </si>
  <si>
    <t>P.Ramesh kumar</t>
  </si>
  <si>
    <t>Silver Oak Vills SOV-III</t>
  </si>
  <si>
    <t>Bellamkonda Pavani</t>
  </si>
  <si>
    <t>K.N.S.S.S.Srinivas &amp; K. Rekha</t>
  </si>
  <si>
    <t>G Subramanian G Sangeeta</t>
  </si>
  <si>
    <t>Pradeep Mashetti</t>
  </si>
  <si>
    <t>Azghar Hussain Mohammed and Shaik Reshma Parveen</t>
  </si>
  <si>
    <t>Neti Gopala Krishna Murthy</t>
  </si>
  <si>
    <t>Bathula Pramada Rani</t>
  </si>
  <si>
    <t>Iruvanti Ram Aakarsh and Truvanti Kameswari</t>
  </si>
  <si>
    <t>Theruthomala Shashidar</t>
  </si>
  <si>
    <t>Vemula Venkateshwar Rao</t>
  </si>
  <si>
    <t>Sankalp Gabbita</t>
  </si>
  <si>
    <t>Mrs BhimanaVajhula Hymavathi &amp; B R Venkatapathi</t>
  </si>
  <si>
    <t>Mannava RamaKrishna</t>
  </si>
  <si>
    <t>Anuradha .Kothapalli</t>
  </si>
  <si>
    <t>Hanumanth Shangrala</t>
  </si>
  <si>
    <t>Bishwjeet Kumar Baby Singh</t>
  </si>
  <si>
    <t>Sadanand Bhojak</t>
  </si>
  <si>
    <t>Nasani Narender</t>
  </si>
  <si>
    <t>Uday kiran Aelagandula</t>
  </si>
  <si>
    <t>Vishal Bharath &amp; Mounika</t>
  </si>
  <si>
    <t>kUSUMA Mahender Kusuma</t>
  </si>
  <si>
    <t>Shalina Nair</t>
  </si>
  <si>
    <t>Madhunakar Gottipamula</t>
  </si>
  <si>
    <t>Supriya .Mrs</t>
  </si>
  <si>
    <t>Avinash Navaratna</t>
  </si>
  <si>
    <t>Rajendhar Kodepaka</t>
  </si>
  <si>
    <t>siri kelothu</t>
  </si>
  <si>
    <t>Ramesh Babu</t>
  </si>
  <si>
    <t>Hari Kelothu</t>
  </si>
  <si>
    <t>Pradeep .Mr</t>
  </si>
  <si>
    <t>Mamta Tiwari</t>
  </si>
  <si>
    <t>Ravi N</t>
  </si>
  <si>
    <t>Swetha Jakka/ Vijay</t>
  </si>
  <si>
    <t>Arun Akella</t>
  </si>
  <si>
    <t>Joharapuram Rafiq</t>
  </si>
  <si>
    <t>B. Chandrakala / Lenin Kumar</t>
  </si>
  <si>
    <t>laxman Noonsavath</t>
  </si>
  <si>
    <t>Srinivasa Rao</t>
  </si>
  <si>
    <t>Tapan KV</t>
  </si>
  <si>
    <t>Kodukula Srinivasa Rao / Sudharshan</t>
  </si>
  <si>
    <t>Phani Shankar</t>
  </si>
  <si>
    <t>Naga Sai Aditya</t>
  </si>
  <si>
    <t>Karna s Mehta</t>
  </si>
  <si>
    <t>Sreedhar Subbarao Amere</t>
  </si>
  <si>
    <t>K. Savitri Chatarji</t>
  </si>
  <si>
    <t>K. Shailesh &amp; K. Srikanth</t>
  </si>
  <si>
    <t>Veena Bhat</t>
  </si>
  <si>
    <t>K. Sohit &amp; K. Hymavathi</t>
  </si>
  <si>
    <t>Sunder Rao</t>
  </si>
  <si>
    <t>Koneti Nanaji</t>
  </si>
  <si>
    <t>G Sarada</t>
  </si>
  <si>
    <t>Shashank .K Sabitha</t>
  </si>
  <si>
    <t>saritha thittappillil Krishnan</t>
  </si>
  <si>
    <t>Surya Prasad Rao</t>
  </si>
  <si>
    <t>Rajiv Das</t>
  </si>
  <si>
    <t>Phanindranath .R</t>
  </si>
  <si>
    <t>Sesha giri</t>
  </si>
  <si>
    <t>Prasad Dasari</t>
  </si>
  <si>
    <t>Prasanna Venkatesh Sridhar</t>
  </si>
  <si>
    <t>Udigiri Charan Kumar</t>
  </si>
  <si>
    <t>Sold(Yes/No)</t>
  </si>
  <si>
    <t>Yes</t>
  </si>
  <si>
    <t>Receivable @60%MHPL</t>
  </si>
  <si>
    <t>Balance amount receivable MHPL</t>
  </si>
  <si>
    <t>Balance as per Tally</t>
  </si>
  <si>
    <t>Amount Receivable @40%SOV</t>
  </si>
  <si>
    <t>GST Bills Raised</t>
  </si>
  <si>
    <t>Amount received by MHPL</t>
  </si>
  <si>
    <t>y</t>
  </si>
  <si>
    <t>n</t>
  </si>
  <si>
    <t>As per Tally Receipts</t>
  </si>
  <si>
    <t>As per database</t>
  </si>
  <si>
    <t>Diffrance</t>
  </si>
  <si>
    <t>ok</t>
  </si>
  <si>
    <t>NSVS Sai Srinivas &amp; N. Anuradha</t>
  </si>
  <si>
    <t>Amount Received by SOV</t>
  </si>
  <si>
    <t>Exempted sales Raised</t>
  </si>
  <si>
    <t>Balance amount Receivable SOV LLP</t>
  </si>
  <si>
    <t>GST</t>
  </si>
  <si>
    <t>31.03.2022</t>
  </si>
  <si>
    <t>Receipts -          FY 22-23</t>
  </si>
  <si>
    <t>JV</t>
  </si>
  <si>
    <t>NSVS Sai srinivas and N Anuradha</t>
  </si>
  <si>
    <t>S.No.</t>
  </si>
  <si>
    <t>Villa Owner</t>
  </si>
  <si>
    <t>Villa No.</t>
  </si>
  <si>
    <t>Sold (Yes/No)</t>
  </si>
  <si>
    <t>Sale Consideration</t>
  </si>
  <si>
    <t>Amount Receivable @60%/Mehta Group</t>
  </si>
  <si>
    <t>Amount Received by Mehta Group</t>
  </si>
  <si>
    <t>Balance amount Receivable Mheta Group)</t>
  </si>
  <si>
    <t>Amount Receivable @40%(SOV LLP)</t>
  </si>
  <si>
    <t>Amount Received by SOV LLP</t>
  </si>
  <si>
    <t>Mr. Deepak U. Mehta</t>
  </si>
  <si>
    <t>YES</t>
  </si>
  <si>
    <t>Mr. Hardik D. Mehta</t>
  </si>
  <si>
    <t>Mr. Karna S. Mehta</t>
  </si>
  <si>
    <t>No</t>
  </si>
  <si>
    <t>Mr. Sudhir U. Mehta</t>
  </si>
  <si>
    <t>Mr. Tejas D. Mehta</t>
  </si>
  <si>
    <t>Mrs. Aaradhana S. Mehta</t>
  </si>
  <si>
    <t>Mrs. Harsha D. Mehta</t>
  </si>
  <si>
    <t>Mrs. Ruchi H. Mehta</t>
  </si>
  <si>
    <t>Mrs. Tejal T. Mehta</t>
  </si>
  <si>
    <t>Rajashri K Mehta</t>
  </si>
  <si>
    <t>Smt. Rajashri K Mehta</t>
  </si>
  <si>
    <t>GST Bill Raised</t>
  </si>
  <si>
    <t>GST Tax Amount</t>
  </si>
  <si>
    <t>Total Received</t>
  </si>
  <si>
    <t>Sl.No.</t>
  </si>
  <si>
    <t>Customer Name</t>
  </si>
  <si>
    <t xml:space="preserve">Cuddapah sree &amp; cuddapah Ranga </t>
  </si>
  <si>
    <t>Chunduri Thejovathi</t>
  </si>
  <si>
    <t>Guduru Naresh</t>
  </si>
  <si>
    <t>Deepti Satya Prasad</t>
  </si>
  <si>
    <t xml:space="preserve">Tirupati Pavan Kumar &amp; Tirupathi </t>
  </si>
  <si>
    <t>Pasupuleti Narayana</t>
  </si>
  <si>
    <t>J.Sanjeeva Reddy&amp;J.Srinivas Reddy</t>
  </si>
  <si>
    <t>Savaram Ram Mohana Rao</t>
  </si>
  <si>
    <t>Shaik Farooq Abdullah</t>
  </si>
  <si>
    <t>Ramchandra Murthy VVNS</t>
  </si>
  <si>
    <t>Srinivas Dutt</t>
  </si>
  <si>
    <t>Sandya Rani Lingampally</t>
  </si>
  <si>
    <t>Chandra kala</t>
  </si>
  <si>
    <t>Ms. Anubha Mathew</t>
  </si>
  <si>
    <t>Pankaj Kumar Goel Nidhi Goel</t>
  </si>
  <si>
    <t xml:space="preserve">Prashant Nara. Bawankar/ Vaishali </t>
  </si>
  <si>
    <t>Tangirala Jaya Durga Bhavani</t>
  </si>
  <si>
    <t>Venkatesh Vaddepally</t>
  </si>
  <si>
    <t>Amount Receivable SOV LLP 40%</t>
  </si>
  <si>
    <t>Amount Received SOV</t>
  </si>
  <si>
    <t>Amount Received MHPL</t>
  </si>
  <si>
    <t>Total Received from customer</t>
  </si>
  <si>
    <t>Amount receivable froum customers</t>
  </si>
  <si>
    <t>Balance amount Receivable Mheta Group</t>
  </si>
  <si>
    <t>Modi Housing Pvt. Ltd.</t>
  </si>
  <si>
    <t>Prepared by</t>
  </si>
  <si>
    <t>Date</t>
  </si>
  <si>
    <t>P.Rameshkumar</t>
  </si>
  <si>
    <t>Silver Oak Villas LLP III (Mehta Group)</t>
  </si>
  <si>
    <t>Amount Received  by SOV &amp; MHPL SOV</t>
  </si>
  <si>
    <t>Contractors 194C</t>
  </si>
  <si>
    <t>CONJBDW-G Mannem</t>
  </si>
  <si>
    <t>DW-Nagaraju</t>
  </si>
  <si>
    <t>DW-Anirudh Dhal</t>
  </si>
  <si>
    <t>CONT-Tulasi Rani</t>
  </si>
  <si>
    <t>WO-Vasanthi Constructions and Developers</t>
  </si>
  <si>
    <t>CONT- T .Kurmanna  (GVSH)</t>
  </si>
  <si>
    <t>CONT-Benumadhavu Das</t>
  </si>
  <si>
    <t>CONT-Biroporida</t>
  </si>
  <si>
    <t>CONT-T Kurmanna</t>
  </si>
  <si>
    <t>EUC-Benumadhav Das</t>
  </si>
  <si>
    <t>CONT-T. Yellanna</t>
  </si>
  <si>
    <t>DW-T Kurmanna</t>
  </si>
  <si>
    <t>DW-Bomma Suresh (Gvsh)</t>
  </si>
  <si>
    <t>DW- Nadeem( Gvsh)</t>
  </si>
  <si>
    <t>EUC- Thirupathi Reddy Purelly</t>
  </si>
  <si>
    <t>Bhavani Ads</t>
  </si>
  <si>
    <t>Naveen Ads</t>
  </si>
  <si>
    <t>DW-G.Mannem</t>
  </si>
  <si>
    <t>CONT- Mohmmad Imtiyaz</t>
  </si>
  <si>
    <t>CONT-Kailsh Pandey</t>
  </si>
  <si>
    <t>DW- Thirupathi Singh</t>
  </si>
  <si>
    <t>Sri bhavani Digitals</t>
  </si>
  <si>
    <t>DW-Benu Madhav Das</t>
  </si>
  <si>
    <t>DW- P.Praveen Kumar (Welder) Gvsh</t>
  </si>
  <si>
    <t>CONT- P .Praveen Kumar (Gvsh)</t>
  </si>
  <si>
    <t>SL.No</t>
  </si>
  <si>
    <t>Particulars</t>
  </si>
  <si>
    <t>Percentage</t>
  </si>
  <si>
    <t>Amount</t>
  </si>
  <si>
    <t>TDS</t>
  </si>
  <si>
    <t>Ajay Metta</t>
  </si>
  <si>
    <t>Summit sales Logistics</t>
  </si>
  <si>
    <t>Modi Properties pvt ltd</t>
  </si>
  <si>
    <t>Summit sales common Expenses</t>
  </si>
  <si>
    <t>KGM&amp;CO</t>
  </si>
  <si>
    <t>EUC-GSnehalatha</t>
  </si>
  <si>
    <t>EUC-Janardhan Prasad</t>
  </si>
  <si>
    <t>EUC- G.Narsimha Reddy</t>
  </si>
  <si>
    <t>EUC-Dara Vijay Kumar ( Gvsh)</t>
  </si>
  <si>
    <t>EUC-T Kurmanna (Gvsh)</t>
  </si>
  <si>
    <t>V Green Media pvt ltd</t>
  </si>
  <si>
    <t>Social DNA</t>
  </si>
  <si>
    <t>summit sales llp logistics</t>
  </si>
  <si>
    <t>Smartbot</t>
  </si>
  <si>
    <t>B Rajender Reddy</t>
  </si>
  <si>
    <t>Other</t>
  </si>
  <si>
    <t>Ragavedera</t>
  </si>
  <si>
    <t>yes</t>
  </si>
  <si>
    <t>Juny Escolaa dsouza</t>
  </si>
  <si>
    <t>Other amount</t>
  </si>
  <si>
    <t>Position</t>
  </si>
  <si>
    <t>upto 31.01.2022</t>
  </si>
  <si>
    <t>gst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</si>
</sst>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[$-409]d/mmm/yy;@"/>
    <numFmt numFmtId="165" formatCode="_ * #,##0_ ;_ * \-#,##0_ ;_ * &quot;-&quot;??_ ;_ @_ "/>
    <numFmt numFmtId="166" formatCode="_(* #,##0_);_(* \(#,##0\);_(* &quot;-&quot;??_);_(@_)"/>
    <numFmt numFmtId="167" formatCode="&quot;&quot;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10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0.5"/>
      <color theme="1"/>
      <name val="Times New Roman"/>
      <family val="1"/>
    </font>
    <font>
      <sz val="10"/>
      <color theme="1"/>
      <name val="Arial"/>
      <family val="2"/>
    </font>
    <font>
      <sz val="11"/>
      <color theme="10"/>
      <name val="Calibri"/>
      <family val="2"/>
      <scheme val="minor"/>
    </font>
    <font>
      <b/>
      <sz val="10.5"/>
      <color theme="1"/>
      <name val="Times New Roman"/>
      <family val="1"/>
    </font>
    <font>
      <b/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43">
    <xf numFmtId="0" fontId="0" fillId="0" borderId="0" xfId="0"/>
    <xf numFmtId="0" fontId="2" fillId="0" borderId="0" xfId="0" applyFont="1"/>
    <xf numFmtId="0" fontId="3" fillId="0" borderId="0" xfId="0" applyFont="1"/>
    <xf numFmtId="43" fontId="2" fillId="0" borderId="0" xfId="1" applyFont="1" applyBorder="1"/>
    <xf numFmtId="0" fontId="2" fillId="0" borderId="0" xfId="0" applyFont="1" applyAlignment="1">
      <alignment horizontal="left"/>
    </xf>
    <xf numFmtId="43" fontId="3" fillId="0" borderId="0" xfId="1" applyFont="1" applyBorder="1"/>
    <xf numFmtId="164" fontId="3" fillId="0" borderId="0" xfId="0" quotePrefix="1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165" fontId="2" fillId="0" borderId="0" xfId="1" applyNumberFormat="1" applyFont="1" applyFill="1" applyBorder="1"/>
    <xf numFmtId="43" fontId="2" fillId="0" borderId="0" xfId="1" applyFont="1" applyFill="1" applyBorder="1"/>
    <xf numFmtId="165" fontId="2" fillId="0" borderId="0" xfId="1" applyNumberFormat="1" applyFont="1" applyBorder="1"/>
    <xf numFmtId="0" fontId="2" fillId="0" borderId="1" xfId="0" applyFont="1" applyBorder="1"/>
    <xf numFmtId="43" fontId="2" fillId="0" borderId="1" xfId="1" applyFont="1" applyFill="1" applyBorder="1"/>
    <xf numFmtId="165" fontId="2" fillId="0" borderId="1" xfId="0" applyNumberFormat="1" applyFont="1" applyBorder="1"/>
    <xf numFmtId="165" fontId="2" fillId="0" borderId="1" xfId="1" applyNumberFormat="1" applyFont="1" applyFill="1" applyBorder="1"/>
    <xf numFmtId="0" fontId="3" fillId="0" borderId="1" xfId="0" applyFont="1" applyBorder="1"/>
    <xf numFmtId="0" fontId="4" fillId="0" borderId="0" xfId="0" applyFont="1" applyAlignment="1">
      <alignment horizontal="left"/>
    </xf>
    <xf numFmtId="0" fontId="4" fillId="0" borderId="0" xfId="0" applyFont="1"/>
    <xf numFmtId="43" fontId="4" fillId="0" borderId="0" xfId="1" applyFont="1"/>
    <xf numFmtId="164" fontId="4" fillId="0" borderId="0" xfId="0" quotePrefix="1" applyNumberFormat="1" applyFont="1"/>
    <xf numFmtId="43" fontId="4" fillId="0" borderId="0" xfId="1" applyFont="1" applyAlignment="1">
      <alignment horizontal="right"/>
    </xf>
    <xf numFmtId="0" fontId="4" fillId="0" borderId="1" xfId="0" applyFont="1" applyBorder="1" applyAlignment="1">
      <alignment horizontal="left" wrapText="1"/>
    </xf>
    <xf numFmtId="43" fontId="4" fillId="0" borderId="1" xfId="1" applyFont="1" applyBorder="1" applyAlignment="1">
      <alignment horizontal="left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166" fontId="3" fillId="0" borderId="0" xfId="1" applyNumberFormat="1" applyFont="1"/>
    <xf numFmtId="1" fontId="3" fillId="0" borderId="0" xfId="1" applyNumberFormat="1" applyFont="1"/>
    <xf numFmtId="43" fontId="4" fillId="0" borderId="0" xfId="1" applyFont="1" applyAlignment="1"/>
    <xf numFmtId="1" fontId="4" fillId="0" borderId="0" xfId="0" applyNumberFormat="1" applyFont="1"/>
    <xf numFmtId="1" fontId="4" fillId="0" borderId="0" xfId="1" applyNumberFormat="1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166" fontId="4" fillId="0" borderId="2" xfId="0" applyNumberFormat="1" applyFont="1" applyBorder="1"/>
    <xf numFmtId="43" fontId="4" fillId="0" borderId="2" xfId="1" applyFont="1" applyBorder="1"/>
    <xf numFmtId="43" fontId="4" fillId="0" borderId="2" xfId="1" applyFont="1" applyBorder="1" applyAlignment="1">
      <alignment horizontal="right"/>
    </xf>
    <xf numFmtId="0" fontId="2" fillId="0" borderId="3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3" fontId="5" fillId="0" borderId="0" xfId="0" applyNumberFormat="1" applyFont="1" applyAlignment="1">
      <alignment horizontal="right" wrapText="1"/>
    </xf>
    <xf numFmtId="17" fontId="3" fillId="0" borderId="0" xfId="0" applyNumberFormat="1" applyFont="1"/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5" fontId="2" fillId="2" borderId="0" xfId="1" applyNumberFormat="1" applyFont="1" applyFill="1" applyBorder="1"/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wrapText="1"/>
    </xf>
    <xf numFmtId="0" fontId="2" fillId="2" borderId="0" xfId="0" applyFont="1" applyFill="1"/>
    <xf numFmtId="3" fontId="5" fillId="2" borderId="0" xfId="0" applyNumberFormat="1" applyFont="1" applyFill="1" applyAlignment="1">
      <alignment horizontal="right" wrapText="1"/>
    </xf>
    <xf numFmtId="43" fontId="2" fillId="2" borderId="0" xfId="1" applyFont="1" applyFill="1" applyBorder="1"/>
    <xf numFmtId="0" fontId="3" fillId="2" borderId="0" xfId="0" applyFont="1" applyFill="1"/>
    <xf numFmtId="17" fontId="3" fillId="2" borderId="0" xfId="0" applyNumberFormat="1" applyFont="1" applyFill="1"/>
    <xf numFmtId="165" fontId="2" fillId="0" borderId="4" xfId="0" applyNumberFormat="1" applyFont="1" applyBorder="1"/>
    <xf numFmtId="165" fontId="3" fillId="0" borderId="4" xfId="0" applyNumberFormat="1" applyFont="1" applyBorder="1"/>
    <xf numFmtId="0" fontId="3" fillId="0" borderId="4" xfId="0" applyFont="1" applyBorder="1"/>
    <xf numFmtId="0" fontId="5" fillId="0" borderId="0" xfId="0" applyFont="1" applyAlignment="1">
      <alignment horizontal="left"/>
    </xf>
    <xf numFmtId="0" fontId="6" fillId="0" borderId="4" xfId="0" applyFont="1" applyBorder="1" applyAlignment="1">
      <alignment wrapText="1"/>
    </xf>
    <xf numFmtId="0" fontId="6" fillId="0" borderId="4" xfId="0" applyFont="1" applyBorder="1"/>
    <xf numFmtId="166" fontId="6" fillId="0" borderId="4" xfId="1" applyNumberFormat="1" applyFont="1" applyBorder="1" applyAlignment="1">
      <alignment wrapText="1"/>
    </xf>
    <xf numFmtId="43" fontId="6" fillId="0" borderId="4" xfId="1" applyFont="1" applyBorder="1" applyAlignment="1">
      <alignment wrapText="1"/>
    </xf>
    <xf numFmtId="0" fontId="4" fillId="3" borderId="4" xfId="0" applyFont="1" applyFill="1" applyBorder="1" applyAlignment="1">
      <alignment vertical="center" wrapText="1"/>
    </xf>
    <xf numFmtId="166" fontId="4" fillId="3" borderId="4" xfId="1" applyNumberFormat="1" applyFont="1" applyFill="1" applyBorder="1" applyAlignment="1">
      <alignment horizontal="right" vertical="center" wrapText="1"/>
    </xf>
    <xf numFmtId="166" fontId="6" fillId="0" borderId="4" xfId="0" applyNumberFormat="1" applyFont="1" applyBorder="1"/>
    <xf numFmtId="166" fontId="6" fillId="0" borderId="4" xfId="1" applyNumberFormat="1" applyFont="1" applyBorder="1" applyAlignment="1"/>
    <xf numFmtId="0" fontId="2" fillId="0" borderId="4" xfId="0" applyFont="1" applyBorder="1"/>
    <xf numFmtId="43" fontId="2" fillId="0" borderId="4" xfId="1" applyFont="1" applyBorder="1"/>
    <xf numFmtId="0" fontId="2" fillId="0" borderId="4" xfId="0" applyFont="1" applyBorder="1" applyAlignment="1">
      <alignment horizontal="left"/>
    </xf>
    <xf numFmtId="43" fontId="3" fillId="0" borderId="4" xfId="1" applyFont="1" applyBorder="1"/>
    <xf numFmtId="164" fontId="3" fillId="0" borderId="4" xfId="0" quotePrefix="1" applyNumberFormat="1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5" fillId="0" borderId="4" xfId="0" applyFont="1" applyBorder="1" applyAlignment="1">
      <alignment wrapText="1"/>
    </xf>
    <xf numFmtId="165" fontId="2" fillId="0" borderId="4" xfId="1" applyNumberFormat="1" applyFont="1" applyFill="1" applyBorder="1"/>
    <xf numFmtId="3" fontId="5" fillId="0" borderId="4" xfId="0" applyNumberFormat="1" applyFont="1" applyBorder="1" applyAlignment="1">
      <alignment horizontal="right" wrapText="1"/>
    </xf>
    <xf numFmtId="165" fontId="3" fillId="0" borderId="4" xfId="1" applyNumberFormat="1" applyFont="1" applyFill="1" applyBorder="1"/>
    <xf numFmtId="43" fontId="3" fillId="0" borderId="4" xfId="0" applyNumberFormat="1" applyFont="1" applyBorder="1"/>
    <xf numFmtId="0" fontId="5" fillId="0" borderId="4" xfId="0" applyFont="1" applyBorder="1" applyAlignment="1">
      <alignment horizontal="center"/>
    </xf>
    <xf numFmtId="43" fontId="2" fillId="0" borderId="4" xfId="1" applyFont="1" applyFill="1" applyBorder="1"/>
    <xf numFmtId="0" fontId="6" fillId="0" borderId="4" xfId="0" applyFont="1" applyBorder="1" applyAlignment="1">
      <alignment horizontal="center" vertical="center" wrapText="1"/>
    </xf>
    <xf numFmtId="165" fontId="6" fillId="0" borderId="4" xfId="1" applyNumberFormat="1" applyFont="1" applyBorder="1" applyAlignment="1"/>
    <xf numFmtId="0" fontId="6" fillId="0" borderId="5" xfId="0" applyFont="1" applyBorder="1" applyAlignment="1">
      <alignment wrapText="1"/>
    </xf>
    <xf numFmtId="0" fontId="8" fillId="0" borderId="4" xfId="0" applyFont="1" applyBorder="1"/>
    <xf numFmtId="166" fontId="7" fillId="0" borderId="4" xfId="0" applyNumberFormat="1" applyFont="1" applyBorder="1"/>
    <xf numFmtId="166" fontId="9" fillId="0" borderId="0" xfId="1" applyNumberFormat="1" applyFont="1" applyFill="1" applyBorder="1" applyAlignment="1">
      <alignment horizontal="center" vertical="center" wrapText="1"/>
    </xf>
    <xf numFmtId="166" fontId="0" fillId="0" borderId="0" xfId="0" applyNumberFormat="1"/>
    <xf numFmtId="166" fontId="0" fillId="2" borderId="0" xfId="0" applyNumberFormat="1" applyFill="1"/>
    <xf numFmtId="0" fontId="0" fillId="0" borderId="0" xfId="0" applyAlignment="1">
      <alignment wrapText="1"/>
    </xf>
    <xf numFmtId="0" fontId="6" fillId="0" borderId="0" xfId="5" applyFont="1" applyAlignment="1"/>
    <xf numFmtId="43" fontId="6" fillId="0" borderId="0" xfId="4" applyFont="1" applyBorder="1" applyAlignment="1"/>
    <xf numFmtId="14" fontId="6" fillId="0" borderId="0" xfId="4" applyNumberFormat="1" applyFont="1" applyBorder="1" applyAlignment="1"/>
    <xf numFmtId="0" fontId="4" fillId="2" borderId="4" xfId="0" applyFont="1" applyFill="1" applyBorder="1" applyAlignment="1">
      <alignment vertical="center" wrapText="1"/>
    </xf>
    <xf numFmtId="0" fontId="0" fillId="0" borderId="4" xfId="0" applyBorder="1"/>
    <xf numFmtId="0" fontId="6" fillId="0" borderId="4" xfId="5" applyFont="1" applyBorder="1" applyAlignment="1"/>
    <xf numFmtId="0" fontId="6" fillId="0" borderId="4" xfId="5" applyFont="1" applyBorder="1" applyAlignment="1">
      <alignment horizontal="center"/>
    </xf>
    <xf numFmtId="166" fontId="6" fillId="0" borderId="4" xfId="4" applyNumberFormat="1" applyFont="1" applyBorder="1" applyAlignment="1"/>
    <xf numFmtId="166" fontId="9" fillId="0" borderId="4" xfId="1" applyNumberFormat="1" applyFont="1" applyBorder="1" applyAlignment="1">
      <alignment horizontal="center" vertical="center" wrapText="1"/>
    </xf>
    <xf numFmtId="0" fontId="6" fillId="0" borderId="4" xfId="5" applyFont="1" applyBorder="1" applyAlignment="1">
      <alignment wrapText="1"/>
    </xf>
    <xf numFmtId="166" fontId="9" fillId="0" borderId="4" xfId="1" applyNumberFormat="1" applyFont="1" applyFill="1" applyBorder="1" applyAlignment="1">
      <alignment horizontal="center" vertical="center" wrapText="1"/>
    </xf>
    <xf numFmtId="0" fontId="6" fillId="0" borderId="4" xfId="3" applyFont="1" applyBorder="1" applyAlignment="1">
      <alignment wrapText="1"/>
    </xf>
    <xf numFmtId="166" fontId="9" fillId="0" borderId="4" xfId="1" applyNumberFormat="1" applyFont="1" applyBorder="1" applyAlignment="1">
      <alignment wrapText="1"/>
    </xf>
    <xf numFmtId="166" fontId="9" fillId="0" borderId="4" xfId="1" applyNumberFormat="1" applyFont="1" applyFill="1" applyBorder="1" applyAlignment="1">
      <alignment wrapText="1"/>
    </xf>
    <xf numFmtId="166" fontId="9" fillId="0" borderId="4" xfId="1" applyNumberFormat="1" applyFont="1" applyBorder="1" applyAlignment="1">
      <alignment horizontal="left" wrapText="1"/>
    </xf>
    <xf numFmtId="166" fontId="9" fillId="0" borderId="4" xfId="0" applyNumberFormat="1" applyFont="1" applyBorder="1" applyAlignment="1">
      <alignment wrapText="1"/>
    </xf>
    <xf numFmtId="166" fontId="0" fillId="0" borderId="4" xfId="0" applyNumberFormat="1" applyBorder="1"/>
    <xf numFmtId="166" fontId="9" fillId="0" borderId="4" xfId="1" applyNumberFormat="1" applyFont="1" applyBorder="1" applyAlignment="1">
      <alignment horizontal="right" wrapText="1"/>
    </xf>
    <xf numFmtId="166" fontId="9" fillId="2" borderId="4" xfId="1" applyNumberFormat="1" applyFont="1" applyFill="1" applyBorder="1" applyAlignment="1">
      <alignment wrapText="1"/>
    </xf>
    <xf numFmtId="166" fontId="9" fillId="2" borderId="4" xfId="0" applyNumberFormat="1" applyFont="1" applyFill="1" applyBorder="1" applyAlignment="1">
      <alignment wrapText="1"/>
    </xf>
    <xf numFmtId="166" fontId="0" fillId="2" borderId="4" xfId="0" applyNumberFormat="1" applyFill="1" applyBorder="1"/>
    <xf numFmtId="0" fontId="4" fillId="0" borderId="4" xfId="5" applyFont="1" applyBorder="1" applyAlignment="1">
      <alignment vertical="center" wrapText="1"/>
    </xf>
    <xf numFmtId="165" fontId="5" fillId="0" borderId="4" xfId="1" applyNumberFormat="1" applyFont="1" applyBorder="1"/>
    <xf numFmtId="166" fontId="6" fillId="0" borderId="4" xfId="1" applyNumberFormat="1" applyFont="1" applyFill="1" applyBorder="1" applyAlignment="1">
      <alignment horizontal="left" vertical="center" wrapText="1"/>
    </xf>
    <xf numFmtId="0" fontId="0" fillId="0" borderId="7" xfId="0" applyBorder="1"/>
    <xf numFmtId="166" fontId="8" fillId="0" borderId="6" xfId="1" applyNumberFormat="1" applyFont="1" applyBorder="1" applyAlignment="1">
      <alignment horizontal="right" wrapText="1" indent="1"/>
    </xf>
    <xf numFmtId="166" fontId="8" fillId="0" borderId="6" xfId="1" applyNumberFormat="1" applyFont="1" applyBorder="1" applyAlignment="1">
      <alignment wrapText="1"/>
    </xf>
    <xf numFmtId="166" fontId="7" fillId="0" borderId="6" xfId="0" applyNumberFormat="1" applyFont="1" applyBorder="1"/>
    <xf numFmtId="0" fontId="12" fillId="0" borderId="0" xfId="7" applyAlignment="1">
      <alignment horizontal="left"/>
    </xf>
    <xf numFmtId="0" fontId="13" fillId="0" borderId="0" xfId="0" applyFont="1"/>
    <xf numFmtId="166" fontId="13" fillId="0" borderId="0" xfId="1" applyNumberFormat="1" applyFont="1" applyFill="1" applyBorder="1" applyAlignment="1"/>
    <xf numFmtId="165" fontId="14" fillId="0" borderId="0" xfId="1" applyNumberFormat="1" applyFont="1" applyAlignment="1">
      <alignment horizontal="right" vertical="top"/>
    </xf>
    <xf numFmtId="0" fontId="15" fillId="0" borderId="0" xfId="7" applyFont="1" applyAlignment="1">
      <alignment horizontal="left"/>
    </xf>
    <xf numFmtId="49" fontId="4" fillId="0" borderId="0" xfId="0" applyNumberFormat="1" applyFont="1" applyAlignment="1">
      <alignment vertical="top"/>
    </xf>
    <xf numFmtId="9" fontId="13" fillId="0" borderId="0" xfId="0" applyNumberFormat="1" applyFont="1"/>
    <xf numFmtId="165" fontId="4" fillId="0" borderId="0" xfId="1" applyNumberFormat="1" applyFont="1" applyAlignment="1">
      <alignment horizontal="right" vertical="top"/>
    </xf>
    <xf numFmtId="166" fontId="13" fillId="0" borderId="0" xfId="1" applyNumberFormat="1" applyFont="1" applyFill="1" applyBorder="1" applyAlignment="1">
      <alignment horizontal="right"/>
    </xf>
    <xf numFmtId="166" fontId="13" fillId="0" borderId="0" xfId="1" applyNumberFormat="1" applyFont="1" applyFill="1" applyAlignment="1"/>
    <xf numFmtId="49" fontId="4" fillId="0" borderId="0" xfId="0" applyNumberFormat="1" applyFont="1" applyAlignment="1">
      <alignment horizontal="right" vertical="top"/>
    </xf>
    <xf numFmtId="166" fontId="16" fillId="0" borderId="0" xfId="1" applyNumberFormat="1" applyFont="1" applyFill="1" applyAlignment="1"/>
    <xf numFmtId="165" fontId="17" fillId="0" borderId="0" xfId="1" applyNumberFormat="1" applyFont="1" applyAlignment="1">
      <alignment horizontal="right" vertical="top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9" fontId="13" fillId="0" borderId="0" xfId="6" applyFont="1" applyFill="1" applyBorder="1" applyAlignment="1">
      <alignment horizontal="center"/>
    </xf>
    <xf numFmtId="167" fontId="4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/>
    </xf>
    <xf numFmtId="9" fontId="13" fillId="0" borderId="0" xfId="0" applyNumberFormat="1" applyFont="1" applyAlignment="1">
      <alignment horizontal="right"/>
    </xf>
    <xf numFmtId="166" fontId="16" fillId="0" borderId="8" xfId="1" applyNumberFormat="1" applyFont="1" applyFill="1" applyBorder="1" applyAlignment="1"/>
    <xf numFmtId="166" fontId="16" fillId="0" borderId="0" xfId="1" applyNumberFormat="1" applyFont="1" applyFill="1" applyBorder="1" applyAlignment="1"/>
    <xf numFmtId="165" fontId="2" fillId="4" borderId="4" xfId="1" applyNumberFormat="1" applyFont="1" applyFill="1" applyBorder="1"/>
    <xf numFmtId="0" fontId="5" fillId="0" borderId="4" xfId="0" applyFont="1" applyBorder="1" applyAlignment="1">
      <alignment horizontal="center" wrapText="1"/>
    </xf>
    <xf numFmtId="43" fontId="2" fillId="0" borderId="4" xfId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3" fontId="3" fillId="0" borderId="4" xfId="1" applyFont="1" applyBorder="1" applyAlignment="1">
      <alignment horizontal="center"/>
    </xf>
    <xf numFmtId="165" fontId="3" fillId="0" borderId="4" xfId="1" applyNumberFormat="1" applyFont="1" applyFill="1" applyBorder="1" applyAlignment="1"/>
    <xf numFmtId="165" fontId="3" fillId="4" borderId="4" xfId="1" applyNumberFormat="1" applyFont="1" applyFill="1" applyBorder="1" applyAlignment="1"/>
  </cellXfs>
  <cellStyles count="8">
    <cellStyle name="Comma" xfId="1" builtinId="3"/>
    <cellStyle name="Comma 2" xfId="2" xr:uid="{00000000-0005-0000-0000-000001000000}"/>
    <cellStyle name="Comma 3" xfId="4" xr:uid="{AB2511FF-E27A-4CFF-9864-DBB995E96ABD}"/>
    <cellStyle name="Hyperlink" xfId="7" builtinId="8"/>
    <cellStyle name="Normal" xfId="0" builtinId="0"/>
    <cellStyle name="Normal 2" xfId="3" xr:uid="{B326B683-FE1C-4D75-AD3B-3BFF49468520}"/>
    <cellStyle name="Normal 3" xfId="5" xr:uid="{CA31F0B9-013A-4D87-9FEA-4AB2FA262A3E}"/>
    <cellStyle name="Percent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9\d\My%20Documents%20of%20Accounts\Modi%20Realty%20Mallapur%20LLP\Project%20Financials\GMR%20financial%20status%20statement%2031-12-2021%20ver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 of documents"/>
      <sheetName val="Project cost &amp; estimates"/>
      <sheetName val="Unit Details"/>
      <sheetName val="Project details"/>
      <sheetName val="RERA sold units details"/>
      <sheetName val="Loan details"/>
      <sheetName val="Financial Summary"/>
      <sheetName val="Working - land, finance, admin"/>
      <sheetName val="Project Estimate"/>
      <sheetName val="Working - WIP"/>
      <sheetName val="Admin Exp"/>
      <sheetName val="WIP19-20"/>
    </sheetNames>
    <sheetDataSet>
      <sheetData sheetId="0"/>
      <sheetData sheetId="1">
        <row r="3">
          <cell r="H3" t="str">
            <v>Apr to Dec-2021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actors@1%25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5"/>
  <sheetViews>
    <sheetView zoomScale="110" zoomScaleNormal="11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L6" sqref="L6"/>
    </sheetView>
  </sheetViews>
  <sheetFormatPr defaultRowHeight="12.75" x14ac:dyDescent="0.2"/>
  <cols>
    <col min="1" max="1" width="5.28515625" style="2" customWidth="1"/>
    <col min="2" max="2" width="6.7109375" style="2" customWidth="1"/>
    <col min="3" max="3" width="8.42578125" style="2" bestFit="1" customWidth="1"/>
    <col min="4" max="4" width="8.140625" style="5" customWidth="1"/>
    <col min="5" max="5" width="25.5703125" style="5" customWidth="1"/>
    <col min="6" max="6" width="13.7109375" style="2" bestFit="1" customWidth="1"/>
    <col min="7" max="7" width="8.42578125" style="5" bestFit="1" customWidth="1"/>
    <col min="8" max="8" width="8" style="5" bestFit="1" customWidth="1"/>
    <col min="9" max="9" width="11.28515625" style="5" customWidth="1"/>
    <col min="10" max="10" width="11.140625" style="2" customWidth="1"/>
    <col min="11" max="12" width="11" style="2" customWidth="1"/>
    <col min="13" max="13" width="9.5703125" style="2" customWidth="1"/>
    <col min="14" max="14" width="10.85546875" style="2" bestFit="1" customWidth="1"/>
    <col min="15" max="15" width="10.140625" style="2" hidden="1" customWidth="1"/>
    <col min="16" max="16384" width="9.140625" style="2"/>
  </cols>
  <sheetData>
    <row r="1" spans="1:16" x14ac:dyDescent="0.2">
      <c r="A1" s="1" t="s">
        <v>0</v>
      </c>
      <c r="B1" s="1"/>
      <c r="D1" s="3"/>
      <c r="E1" s="4" t="s">
        <v>45</v>
      </c>
      <c r="F1" s="1"/>
      <c r="G1" s="1"/>
      <c r="I1" s="4" t="s">
        <v>46</v>
      </c>
      <c r="J1" s="1"/>
      <c r="K1" s="1"/>
      <c r="L1" s="1"/>
      <c r="M1" s="1"/>
      <c r="N1" s="1"/>
    </row>
    <row r="2" spans="1:16" x14ac:dyDescent="0.2">
      <c r="A2" s="1" t="s">
        <v>4</v>
      </c>
      <c r="B2" s="1"/>
      <c r="D2" s="3"/>
      <c r="E2" s="4" t="s">
        <v>47</v>
      </c>
      <c r="F2" s="1"/>
      <c r="G2" s="1"/>
      <c r="I2" s="6">
        <v>44561</v>
      </c>
      <c r="J2" s="1"/>
      <c r="K2" s="1"/>
      <c r="L2" s="1"/>
      <c r="M2" s="1"/>
      <c r="N2" s="1">
        <f>9*4</f>
        <v>36</v>
      </c>
    </row>
    <row r="3" spans="1:16" x14ac:dyDescent="0.2">
      <c r="A3" s="1" t="s">
        <v>7</v>
      </c>
      <c r="B3" s="1"/>
      <c r="D3" s="3"/>
      <c r="E3" s="4"/>
      <c r="F3" s="1"/>
      <c r="G3" s="1"/>
      <c r="I3" s="7" t="str">
        <f>'[1]Project cost &amp; estimates'!H3</f>
        <v>Apr to Dec-2021</v>
      </c>
      <c r="J3" s="1"/>
      <c r="K3" s="1"/>
      <c r="L3" s="1"/>
      <c r="M3" s="1"/>
      <c r="N3" s="1"/>
    </row>
    <row r="4" spans="1:16" x14ac:dyDescent="0.2">
      <c r="D4" s="3"/>
      <c r="E4" s="3"/>
      <c r="G4" s="3"/>
      <c r="H4" s="3"/>
      <c r="I4" s="3"/>
      <c r="J4" s="1"/>
      <c r="K4" s="1"/>
      <c r="L4" s="1"/>
      <c r="M4" s="1"/>
      <c r="N4" s="1"/>
    </row>
    <row r="5" spans="1:16" s="9" customFormat="1" ht="48" x14ac:dyDescent="0.2">
      <c r="A5" s="8" t="s">
        <v>8</v>
      </c>
      <c r="B5" s="38" t="s">
        <v>9</v>
      </c>
      <c r="C5" s="8" t="s">
        <v>10</v>
      </c>
      <c r="D5" s="8" t="s">
        <v>11</v>
      </c>
      <c r="E5" s="38" t="s">
        <v>12</v>
      </c>
      <c r="F5" s="38" t="s">
        <v>13</v>
      </c>
      <c r="G5" s="8" t="s">
        <v>14</v>
      </c>
      <c r="H5" s="8" t="s">
        <v>15</v>
      </c>
      <c r="I5" s="8" t="s">
        <v>16</v>
      </c>
      <c r="J5" s="8" t="s">
        <v>17</v>
      </c>
      <c r="K5" s="8" t="s">
        <v>18</v>
      </c>
      <c r="L5" s="8" t="s">
        <v>128</v>
      </c>
      <c r="M5" s="8" t="s">
        <v>19</v>
      </c>
      <c r="N5" s="8" t="s">
        <v>20</v>
      </c>
      <c r="O5" s="8" t="s">
        <v>21</v>
      </c>
    </row>
    <row r="6" spans="1:16" ht="12.95" customHeight="1" x14ac:dyDescent="0.2">
      <c r="A6" s="10">
        <v>1</v>
      </c>
      <c r="B6" s="39">
        <v>102</v>
      </c>
      <c r="C6" s="1">
        <v>2040</v>
      </c>
      <c r="D6" s="11"/>
      <c r="E6" s="39" t="s">
        <v>48</v>
      </c>
      <c r="F6" s="40">
        <v>8300000</v>
      </c>
      <c r="G6" s="12">
        <v>0</v>
      </c>
      <c r="H6" s="12">
        <v>0</v>
      </c>
      <c r="I6" s="11">
        <f>25000+200000+1000000</f>
        <v>1225000</v>
      </c>
      <c r="J6" s="11">
        <v>3487000</v>
      </c>
      <c r="K6" s="11">
        <f>1096000+996000</f>
        <v>2092000</v>
      </c>
      <c r="L6" s="11"/>
      <c r="M6" s="11">
        <f t="shared" ref="M6:M66" si="0">SUM(G6:K6)</f>
        <v>6804000</v>
      </c>
      <c r="N6" s="11">
        <f t="shared" ref="N6:N66" si="1">F6-M6</f>
        <v>1496000</v>
      </c>
      <c r="O6" s="11">
        <f t="shared" ref="O6:O66" si="2">M6*100/105</f>
        <v>6480000</v>
      </c>
      <c r="P6" s="2" t="s">
        <v>121</v>
      </c>
    </row>
    <row r="7" spans="1:16" ht="12.95" customHeight="1" x14ac:dyDescent="0.2">
      <c r="A7" s="10">
        <v>2</v>
      </c>
      <c r="B7" s="39">
        <v>104</v>
      </c>
      <c r="C7" s="1">
        <v>2040</v>
      </c>
      <c r="D7" s="11"/>
      <c r="E7" s="39" t="s">
        <v>49</v>
      </c>
      <c r="F7" s="40">
        <v>8300000</v>
      </c>
      <c r="G7" s="12">
        <v>0</v>
      </c>
      <c r="H7" s="12">
        <v>0</v>
      </c>
      <c r="I7" s="11">
        <f>825000+400000</f>
        <v>1225000</v>
      </c>
      <c r="J7" s="11">
        <v>3587000</v>
      </c>
      <c r="K7" s="11">
        <f>996000+996000+597600</f>
        <v>2589600</v>
      </c>
      <c r="L7" s="11"/>
      <c r="M7" s="11">
        <f t="shared" si="0"/>
        <v>7401600</v>
      </c>
      <c r="N7" s="11">
        <f t="shared" si="1"/>
        <v>898400</v>
      </c>
      <c r="O7" s="11">
        <f t="shared" si="2"/>
        <v>7049142.8571428573</v>
      </c>
      <c r="P7" s="2" t="s">
        <v>121</v>
      </c>
    </row>
    <row r="8" spans="1:16" ht="12.95" customHeight="1" x14ac:dyDescent="0.2">
      <c r="A8" s="10">
        <v>3</v>
      </c>
      <c r="B8" s="39">
        <v>106</v>
      </c>
      <c r="C8" s="1">
        <v>2040</v>
      </c>
      <c r="D8" s="11"/>
      <c r="E8" s="39" t="s">
        <v>50</v>
      </c>
      <c r="F8" s="40">
        <v>8400000</v>
      </c>
      <c r="G8" s="12">
        <v>0</v>
      </c>
      <c r="H8" s="12">
        <v>0</v>
      </c>
      <c r="I8" s="11">
        <v>0</v>
      </c>
      <c r="J8" s="11">
        <f>25000+200000+1000000+3651000</f>
        <v>4876000</v>
      </c>
      <c r="K8" s="11">
        <f>1008000+1008000</f>
        <v>2016000</v>
      </c>
      <c r="L8" s="11"/>
      <c r="M8" s="11">
        <f t="shared" si="0"/>
        <v>6892000</v>
      </c>
      <c r="N8" s="11">
        <f t="shared" si="1"/>
        <v>1508000</v>
      </c>
      <c r="O8" s="11">
        <f t="shared" si="2"/>
        <v>6563809.5238095243</v>
      </c>
      <c r="P8" s="2" t="s">
        <v>121</v>
      </c>
    </row>
    <row r="9" spans="1:16" ht="12.95" customHeight="1" x14ac:dyDescent="0.2">
      <c r="A9" s="10">
        <v>4</v>
      </c>
      <c r="B9" s="39">
        <v>108</v>
      </c>
      <c r="C9" s="1">
        <v>2040</v>
      </c>
      <c r="D9" s="11"/>
      <c r="E9" s="39" t="s">
        <v>51</v>
      </c>
      <c r="F9" s="40">
        <v>9100000</v>
      </c>
      <c r="G9" s="12">
        <v>0</v>
      </c>
      <c r="H9" s="12">
        <v>0</v>
      </c>
      <c r="I9" s="11">
        <v>0</v>
      </c>
      <c r="J9" s="11">
        <v>1225000</v>
      </c>
      <c r="K9" s="11">
        <f>1100000+1500000+500000+1135000+465000</f>
        <v>4700000</v>
      </c>
      <c r="L9" s="11"/>
      <c r="M9" s="11">
        <f t="shared" si="0"/>
        <v>5925000</v>
      </c>
      <c r="N9" s="11">
        <f t="shared" si="1"/>
        <v>3175000</v>
      </c>
      <c r="O9" s="11">
        <f t="shared" si="2"/>
        <v>5642857.1428571427</v>
      </c>
      <c r="P9" s="2" t="s">
        <v>121</v>
      </c>
    </row>
    <row r="10" spans="1:16" ht="12.95" customHeight="1" x14ac:dyDescent="0.2">
      <c r="A10" s="10">
        <v>5</v>
      </c>
      <c r="B10" s="39">
        <v>110</v>
      </c>
      <c r="C10" s="1">
        <v>2040</v>
      </c>
      <c r="D10" s="11"/>
      <c r="E10" s="39" t="s">
        <v>52</v>
      </c>
      <c r="F10" s="40">
        <v>8200000</v>
      </c>
      <c r="G10" s="12">
        <v>0</v>
      </c>
      <c r="H10" s="12">
        <v>0</v>
      </c>
      <c r="I10" s="11">
        <v>1225000</v>
      </c>
      <c r="J10" s="11">
        <v>3523000</v>
      </c>
      <c r="K10" s="11">
        <f>984000+984000</f>
        <v>1968000</v>
      </c>
      <c r="L10" s="11"/>
      <c r="M10" s="11">
        <f t="shared" si="0"/>
        <v>6716000</v>
      </c>
      <c r="N10" s="11">
        <f t="shared" si="1"/>
        <v>1484000</v>
      </c>
      <c r="O10" s="11">
        <f t="shared" si="2"/>
        <v>6396190.4761904757</v>
      </c>
      <c r="P10" s="2" t="s">
        <v>121</v>
      </c>
    </row>
    <row r="11" spans="1:16" ht="12.95" customHeight="1" x14ac:dyDescent="0.2">
      <c r="A11" s="10">
        <v>6</v>
      </c>
      <c r="B11" s="39">
        <v>112</v>
      </c>
      <c r="C11" s="1">
        <v>2040</v>
      </c>
      <c r="D11" s="11"/>
      <c r="E11" s="39" t="s">
        <v>53</v>
      </c>
      <c r="F11" s="40">
        <v>8300000</v>
      </c>
      <c r="G11" s="12">
        <v>0</v>
      </c>
      <c r="H11" s="12">
        <v>0</v>
      </c>
      <c r="I11" s="11">
        <v>0</v>
      </c>
      <c r="J11" s="11">
        <f>225000+125000+475000+400000+480000+480000+335000+445000</f>
        <v>2965000</v>
      </c>
      <c r="K11" s="11">
        <f>330000+330000+310000+310000+150000+350000+150000+350000+160000+160000+150000+150000+300000+300000</f>
        <v>3500000</v>
      </c>
      <c r="L11" s="11"/>
      <c r="M11" s="11">
        <f t="shared" si="0"/>
        <v>6465000</v>
      </c>
      <c r="N11" s="11">
        <f t="shared" si="1"/>
        <v>1835000</v>
      </c>
      <c r="O11" s="11">
        <f t="shared" si="2"/>
        <v>6157142.8571428573</v>
      </c>
      <c r="P11" s="2" t="s">
        <v>121</v>
      </c>
    </row>
    <row r="12" spans="1:16" ht="12.95" customHeight="1" x14ac:dyDescent="0.2">
      <c r="A12" s="10">
        <v>7</v>
      </c>
      <c r="B12" s="39">
        <v>114</v>
      </c>
      <c r="C12" s="1">
        <v>2040</v>
      </c>
      <c r="D12" s="11"/>
      <c r="E12" s="39" t="s">
        <v>54</v>
      </c>
      <c r="F12" s="40">
        <v>8500000</v>
      </c>
      <c r="G12" s="12">
        <v>0</v>
      </c>
      <c r="H12" s="12">
        <v>0</v>
      </c>
      <c r="I12" s="11">
        <v>0</v>
      </c>
      <c r="J12" s="11">
        <v>1225000</v>
      </c>
      <c r="K12" s="11">
        <f>725000+1100000+3031249+1200000</f>
        <v>6056249</v>
      </c>
      <c r="L12" s="11"/>
      <c r="M12" s="11">
        <f t="shared" si="0"/>
        <v>7281249</v>
      </c>
      <c r="N12" s="11">
        <f t="shared" si="1"/>
        <v>1218751</v>
      </c>
      <c r="O12" s="11">
        <f t="shared" si="2"/>
        <v>6934522.8571428573</v>
      </c>
      <c r="P12" s="2" t="s">
        <v>121</v>
      </c>
    </row>
    <row r="13" spans="1:16" ht="12.95" customHeight="1" x14ac:dyDescent="0.2">
      <c r="A13" s="10">
        <v>8</v>
      </c>
      <c r="B13" s="39">
        <v>116</v>
      </c>
      <c r="C13" s="1">
        <v>2040</v>
      </c>
      <c r="D13" s="11"/>
      <c r="E13" s="39" t="s">
        <v>55</v>
      </c>
      <c r="F13" s="40">
        <v>8300000</v>
      </c>
      <c r="G13" s="12">
        <v>0</v>
      </c>
      <c r="H13" s="12">
        <v>0</v>
      </c>
      <c r="I13" s="11">
        <v>1225000</v>
      </c>
      <c r="J13" s="11">
        <f>3587000</f>
        <v>3587000</v>
      </c>
      <c r="K13" s="11">
        <f>597600+996000+996000</f>
        <v>2589600</v>
      </c>
      <c r="L13" s="11"/>
      <c r="M13" s="11">
        <f t="shared" si="0"/>
        <v>7401600</v>
      </c>
      <c r="N13" s="11">
        <f t="shared" si="1"/>
        <v>898400</v>
      </c>
      <c r="O13" s="11">
        <f t="shared" si="2"/>
        <v>7049142.8571428573</v>
      </c>
      <c r="P13" s="2" t="s">
        <v>121</v>
      </c>
    </row>
    <row r="14" spans="1:16" ht="12.95" customHeight="1" x14ac:dyDescent="0.2">
      <c r="A14" s="10">
        <v>9</v>
      </c>
      <c r="B14" s="39">
        <v>118</v>
      </c>
      <c r="C14" s="1">
        <v>2040</v>
      </c>
      <c r="D14" s="11"/>
      <c r="E14" s="39" t="s">
        <v>56</v>
      </c>
      <c r="F14" s="40">
        <v>8300000</v>
      </c>
      <c r="G14" s="12">
        <v>0</v>
      </c>
      <c r="H14" s="12">
        <v>0</v>
      </c>
      <c r="I14" s="11">
        <v>225000</v>
      </c>
      <c r="J14" s="11">
        <v>4587000</v>
      </c>
      <c r="K14" s="11">
        <f>996000+996000</f>
        <v>1992000</v>
      </c>
      <c r="L14" s="11"/>
      <c r="M14" s="11">
        <f t="shared" si="0"/>
        <v>6804000</v>
      </c>
      <c r="N14" s="11">
        <f t="shared" si="1"/>
        <v>1496000</v>
      </c>
      <c r="O14" s="11">
        <f t="shared" si="2"/>
        <v>6480000</v>
      </c>
      <c r="P14" s="2" t="s">
        <v>121</v>
      </c>
    </row>
    <row r="15" spans="1:16" ht="12.95" customHeight="1" x14ac:dyDescent="0.2">
      <c r="A15" s="10">
        <v>10</v>
      </c>
      <c r="B15" s="39">
        <v>120</v>
      </c>
      <c r="C15" s="1">
        <v>2040</v>
      </c>
      <c r="D15" s="11"/>
      <c r="E15" s="39" t="s">
        <v>57</v>
      </c>
      <c r="F15" s="40">
        <v>8300000</v>
      </c>
      <c r="G15" s="12">
        <v>0</v>
      </c>
      <c r="H15" s="12">
        <v>0</v>
      </c>
      <c r="I15" s="11">
        <v>275000</v>
      </c>
      <c r="J15" s="11">
        <v>1000000</v>
      </c>
      <c r="K15" s="11">
        <f>3587000+996000</f>
        <v>4583000</v>
      </c>
      <c r="L15" s="11"/>
      <c r="M15" s="11">
        <f t="shared" si="0"/>
        <v>5858000</v>
      </c>
      <c r="N15" s="11">
        <f t="shared" si="1"/>
        <v>2442000</v>
      </c>
      <c r="O15" s="11">
        <f t="shared" si="2"/>
        <v>5579047.6190476194</v>
      </c>
      <c r="P15" s="2" t="s">
        <v>121</v>
      </c>
    </row>
    <row r="16" spans="1:16" ht="12.95" customHeight="1" x14ac:dyDescent="0.2">
      <c r="A16" s="10">
        <v>11</v>
      </c>
      <c r="B16" s="39">
        <v>122</v>
      </c>
      <c r="C16" s="1">
        <v>2040</v>
      </c>
      <c r="D16" s="11"/>
      <c r="E16" s="39" t="s">
        <v>58</v>
      </c>
      <c r="F16" s="40">
        <v>8200000</v>
      </c>
      <c r="G16" s="12">
        <v>0</v>
      </c>
      <c r="H16" s="12">
        <v>0</v>
      </c>
      <c r="I16" s="11">
        <v>1225000</v>
      </c>
      <c r="J16" s="11">
        <v>3523000</v>
      </c>
      <c r="K16" s="11">
        <f>984000+984000</f>
        <v>1968000</v>
      </c>
      <c r="L16" s="11"/>
      <c r="M16" s="11">
        <f t="shared" si="0"/>
        <v>6716000</v>
      </c>
      <c r="N16" s="11">
        <f t="shared" si="1"/>
        <v>1484000</v>
      </c>
      <c r="O16" s="11">
        <f t="shared" si="2"/>
        <v>6396190.4761904757</v>
      </c>
      <c r="P16" s="2" t="s">
        <v>121</v>
      </c>
    </row>
    <row r="17" spans="1:16" ht="12.95" customHeight="1" x14ac:dyDescent="0.2">
      <c r="A17" s="10">
        <v>12</v>
      </c>
      <c r="B17" s="39">
        <v>124</v>
      </c>
      <c r="C17" s="1">
        <v>2040</v>
      </c>
      <c r="D17" s="11"/>
      <c r="E17" s="39" t="s">
        <v>59</v>
      </c>
      <c r="F17" s="40">
        <v>8500000</v>
      </c>
      <c r="G17" s="12">
        <v>0</v>
      </c>
      <c r="H17" s="12">
        <v>0</v>
      </c>
      <c r="I17" s="11">
        <v>0</v>
      </c>
      <c r="J17" s="11">
        <v>5215000</v>
      </c>
      <c r="K17" s="11">
        <f>1020000+1020000</f>
        <v>2040000</v>
      </c>
      <c r="L17" s="11"/>
      <c r="M17" s="11">
        <f t="shared" si="0"/>
        <v>7255000</v>
      </c>
      <c r="N17" s="11">
        <f t="shared" si="1"/>
        <v>1245000</v>
      </c>
      <c r="O17" s="11">
        <f t="shared" si="2"/>
        <v>6909523.8095238097</v>
      </c>
      <c r="P17" s="2" t="s">
        <v>121</v>
      </c>
    </row>
    <row r="18" spans="1:16" ht="12.95" customHeight="1" x14ac:dyDescent="0.2">
      <c r="A18" s="10">
        <v>13</v>
      </c>
      <c r="B18" s="39">
        <v>126</v>
      </c>
      <c r="C18" s="1">
        <v>2040</v>
      </c>
      <c r="D18" s="11"/>
      <c r="E18" s="39" t="s">
        <v>60</v>
      </c>
      <c r="F18" s="40">
        <v>8200000</v>
      </c>
      <c r="G18" s="12">
        <v>0</v>
      </c>
      <c r="H18" s="12">
        <v>0</v>
      </c>
      <c r="I18" s="11">
        <v>225000</v>
      </c>
      <c r="J18" s="11">
        <v>5630000</v>
      </c>
      <c r="K18" s="11">
        <v>900000</v>
      </c>
      <c r="L18" s="11"/>
      <c r="M18" s="11">
        <f t="shared" si="0"/>
        <v>6755000</v>
      </c>
      <c r="N18" s="11">
        <f t="shared" si="1"/>
        <v>1445000</v>
      </c>
      <c r="O18" s="11">
        <f t="shared" si="2"/>
        <v>6433333.333333333</v>
      </c>
      <c r="P18" s="2" t="s">
        <v>121</v>
      </c>
    </row>
    <row r="19" spans="1:16" ht="12.95" customHeight="1" x14ac:dyDescent="0.2">
      <c r="A19" s="10">
        <v>14</v>
      </c>
      <c r="B19" s="39">
        <v>128</v>
      </c>
      <c r="C19" s="1">
        <v>2040</v>
      </c>
      <c r="D19" s="11"/>
      <c r="E19" s="39" t="s">
        <v>61</v>
      </c>
      <c r="F19" s="40">
        <v>9810000</v>
      </c>
      <c r="G19" s="12">
        <v>0</v>
      </c>
      <c r="H19" s="12">
        <v>0</v>
      </c>
      <c r="I19" s="11">
        <v>0</v>
      </c>
      <c r="J19" s="11">
        <v>0</v>
      </c>
      <c r="K19" s="11">
        <f>9810000+706320</f>
        <v>10516320</v>
      </c>
      <c r="L19" s="11"/>
      <c r="M19" s="11">
        <f t="shared" si="0"/>
        <v>10516320</v>
      </c>
      <c r="N19" s="11">
        <f t="shared" si="1"/>
        <v>-706320</v>
      </c>
      <c r="O19" s="11">
        <f t="shared" si="2"/>
        <v>10015542.857142856</v>
      </c>
      <c r="P19" s="2" t="s">
        <v>121</v>
      </c>
    </row>
    <row r="20" spans="1:16" ht="12.95" customHeight="1" x14ac:dyDescent="0.2">
      <c r="A20" s="10">
        <v>15</v>
      </c>
      <c r="B20" s="39">
        <v>129</v>
      </c>
      <c r="C20" s="1">
        <v>2040</v>
      </c>
      <c r="D20" s="11"/>
      <c r="E20" s="39" t="s">
        <v>62</v>
      </c>
      <c r="F20" s="40">
        <v>10120000</v>
      </c>
      <c r="G20" s="12">
        <v>0</v>
      </c>
      <c r="H20" s="12">
        <v>0</v>
      </c>
      <c r="I20" s="11">
        <v>0</v>
      </c>
      <c r="J20" s="11">
        <v>0</v>
      </c>
      <c r="K20" s="11">
        <f>10125000+746088</f>
        <v>10871088</v>
      </c>
      <c r="L20" s="11"/>
      <c r="M20" s="11">
        <f t="shared" si="0"/>
        <v>10871088</v>
      </c>
      <c r="N20" s="11">
        <f t="shared" si="1"/>
        <v>-751088</v>
      </c>
      <c r="O20" s="11">
        <f t="shared" si="2"/>
        <v>10353417.142857144</v>
      </c>
      <c r="P20" s="2" t="s">
        <v>121</v>
      </c>
    </row>
    <row r="21" spans="1:16" ht="12.95" customHeight="1" x14ac:dyDescent="0.2">
      <c r="A21" s="10">
        <v>16</v>
      </c>
      <c r="B21" s="39">
        <v>131</v>
      </c>
      <c r="C21" s="1">
        <v>2040</v>
      </c>
      <c r="D21" s="11"/>
      <c r="E21" s="39" t="s">
        <v>63</v>
      </c>
      <c r="F21" s="40">
        <v>8300000</v>
      </c>
      <c r="G21" s="12"/>
      <c r="H21" s="12"/>
      <c r="I21" s="11">
        <v>225000</v>
      </c>
      <c r="J21" s="11">
        <v>4587000</v>
      </c>
      <c r="K21" s="11">
        <v>2589600</v>
      </c>
      <c r="L21" s="11"/>
      <c r="M21" s="11">
        <f t="shared" si="0"/>
        <v>7401600</v>
      </c>
      <c r="N21" s="11">
        <f t="shared" si="1"/>
        <v>898400</v>
      </c>
      <c r="O21" s="11">
        <f t="shared" si="2"/>
        <v>7049142.8571428573</v>
      </c>
      <c r="P21" s="2" t="s">
        <v>121</v>
      </c>
    </row>
    <row r="22" spans="1:16" ht="12.95" customHeight="1" x14ac:dyDescent="0.2">
      <c r="A22" s="10">
        <v>17</v>
      </c>
      <c r="B22" s="39">
        <v>133</v>
      </c>
      <c r="C22" s="1">
        <v>2040</v>
      </c>
      <c r="D22" s="11"/>
      <c r="E22" s="39" t="s">
        <v>64</v>
      </c>
      <c r="F22" s="40">
        <v>8300000</v>
      </c>
      <c r="G22" s="12">
        <v>0</v>
      </c>
      <c r="H22" s="12">
        <v>0</v>
      </c>
      <c r="I22" s="11">
        <v>1225000</v>
      </c>
      <c r="J22" s="11">
        <v>3575000</v>
      </c>
      <c r="K22" s="11">
        <f>1008000+996000</f>
        <v>2004000</v>
      </c>
      <c r="L22" s="11"/>
      <c r="M22" s="11">
        <f t="shared" si="0"/>
        <v>6804000</v>
      </c>
      <c r="N22" s="11">
        <f t="shared" si="1"/>
        <v>1496000</v>
      </c>
      <c r="O22" s="11">
        <f t="shared" si="2"/>
        <v>6480000</v>
      </c>
      <c r="P22" s="2" t="s">
        <v>121</v>
      </c>
    </row>
    <row r="23" spans="1:16" ht="12.95" customHeight="1" x14ac:dyDescent="0.2">
      <c r="A23" s="10">
        <v>18</v>
      </c>
      <c r="B23" s="39">
        <v>135</v>
      </c>
      <c r="C23" s="1">
        <v>2040</v>
      </c>
      <c r="D23" s="11"/>
      <c r="E23" s="39" t="s">
        <v>65</v>
      </c>
      <c r="F23" s="40">
        <v>9100000</v>
      </c>
      <c r="G23" s="12">
        <v>0</v>
      </c>
      <c r="H23" s="12">
        <v>0</v>
      </c>
      <c r="I23" s="11">
        <v>0</v>
      </c>
      <c r="J23" s="11">
        <f>1225000+4099000</f>
        <v>5324000</v>
      </c>
      <c r="K23" s="11">
        <f>1092000+1092000</f>
        <v>2184000</v>
      </c>
      <c r="L23" s="11"/>
      <c r="M23" s="11">
        <f t="shared" si="0"/>
        <v>7508000</v>
      </c>
      <c r="N23" s="11">
        <f t="shared" si="1"/>
        <v>1592000</v>
      </c>
      <c r="O23" s="11">
        <f t="shared" si="2"/>
        <v>7150476.1904761903</v>
      </c>
      <c r="P23" s="2" t="s">
        <v>121</v>
      </c>
    </row>
    <row r="24" spans="1:16" ht="12.95" customHeight="1" x14ac:dyDescent="0.2">
      <c r="A24" s="10">
        <v>19</v>
      </c>
      <c r="B24" s="39">
        <v>137</v>
      </c>
      <c r="C24" s="1">
        <v>2040</v>
      </c>
      <c r="D24" s="11"/>
      <c r="E24" s="39" t="s">
        <v>66</v>
      </c>
      <c r="F24" s="40">
        <v>9000000</v>
      </c>
      <c r="G24" s="12">
        <v>0</v>
      </c>
      <c r="H24" s="12">
        <v>0</v>
      </c>
      <c r="I24" s="11">
        <v>0</v>
      </c>
      <c r="J24" s="11">
        <v>225000</v>
      </c>
      <c r="K24" s="11">
        <v>6115000</v>
      </c>
      <c r="L24" s="11"/>
      <c r="M24" s="11">
        <f t="shared" si="0"/>
        <v>6340000</v>
      </c>
      <c r="N24" s="11">
        <f t="shared" si="1"/>
        <v>2660000</v>
      </c>
      <c r="O24" s="11">
        <f t="shared" si="2"/>
        <v>6038095.2380952379</v>
      </c>
      <c r="P24" s="2" t="s">
        <v>121</v>
      </c>
    </row>
    <row r="25" spans="1:16" ht="12.95" customHeight="1" x14ac:dyDescent="0.2">
      <c r="A25" s="10">
        <v>20</v>
      </c>
      <c r="B25" s="39">
        <v>139</v>
      </c>
      <c r="C25" s="1">
        <v>2040</v>
      </c>
      <c r="D25" s="11"/>
      <c r="E25" s="39" t="s">
        <v>67</v>
      </c>
      <c r="F25" s="40">
        <v>9100000</v>
      </c>
      <c r="G25" s="12">
        <v>0</v>
      </c>
      <c r="H25" s="12">
        <v>0</v>
      </c>
      <c r="I25" s="11">
        <v>0</v>
      </c>
      <c r="J25" s="11">
        <v>225000</v>
      </c>
      <c r="K25" s="11">
        <f>5099000+1092000</f>
        <v>6191000</v>
      </c>
      <c r="L25" s="11"/>
      <c r="M25" s="11">
        <f t="shared" si="0"/>
        <v>6416000</v>
      </c>
      <c r="N25" s="11">
        <f t="shared" si="1"/>
        <v>2684000</v>
      </c>
      <c r="O25" s="11">
        <f t="shared" si="2"/>
        <v>6110476.1904761903</v>
      </c>
      <c r="P25" s="2" t="s">
        <v>121</v>
      </c>
    </row>
    <row r="26" spans="1:16" ht="12.95" customHeight="1" x14ac:dyDescent="0.2">
      <c r="A26" s="10">
        <v>21</v>
      </c>
      <c r="B26" s="39">
        <v>141</v>
      </c>
      <c r="C26" s="1">
        <v>2040</v>
      </c>
      <c r="D26" s="11"/>
      <c r="E26" s="39" t="s">
        <v>68</v>
      </c>
      <c r="F26" s="40">
        <v>9150000</v>
      </c>
      <c r="G26" s="12">
        <v>0</v>
      </c>
      <c r="H26" s="12">
        <v>0</v>
      </c>
      <c r="I26" s="11">
        <v>0</v>
      </c>
      <c r="J26" s="11">
        <v>1225000</v>
      </c>
      <c r="K26" s="11">
        <f>1600000+1206000+1325000+1098000</f>
        <v>5229000</v>
      </c>
      <c r="L26" s="11"/>
      <c r="M26" s="11">
        <f t="shared" si="0"/>
        <v>6454000</v>
      </c>
      <c r="N26" s="11">
        <f t="shared" si="1"/>
        <v>2696000</v>
      </c>
      <c r="O26" s="11">
        <f t="shared" si="2"/>
        <v>6146666.666666667</v>
      </c>
      <c r="P26" s="41" t="s">
        <v>121</v>
      </c>
    </row>
    <row r="27" spans="1:16" ht="12.95" customHeight="1" x14ac:dyDescent="0.2">
      <c r="A27" s="10">
        <v>22</v>
      </c>
      <c r="B27" s="39">
        <v>142</v>
      </c>
      <c r="C27" s="1">
        <v>2040</v>
      </c>
      <c r="D27" s="11"/>
      <c r="E27" s="39" t="s">
        <v>69</v>
      </c>
      <c r="F27" s="40">
        <v>9100000</v>
      </c>
      <c r="G27" s="12">
        <v>0</v>
      </c>
      <c r="H27" s="12">
        <v>0</v>
      </c>
      <c r="I27" s="11">
        <v>0</v>
      </c>
      <c r="J27" s="11">
        <v>1225000</v>
      </c>
      <c r="K27" s="11">
        <f>4099000+1092000</f>
        <v>5191000</v>
      </c>
      <c r="L27" s="11"/>
      <c r="M27" s="11">
        <f t="shared" si="0"/>
        <v>6416000</v>
      </c>
      <c r="N27" s="11">
        <f t="shared" si="1"/>
        <v>2684000</v>
      </c>
      <c r="O27" s="11">
        <f t="shared" si="2"/>
        <v>6110476.1904761903</v>
      </c>
      <c r="P27" s="2" t="s">
        <v>121</v>
      </c>
    </row>
    <row r="28" spans="1:16" ht="12.95" customHeight="1" x14ac:dyDescent="0.2">
      <c r="A28" s="10">
        <v>23</v>
      </c>
      <c r="B28" s="39">
        <v>143</v>
      </c>
      <c r="C28" s="1">
        <v>2040</v>
      </c>
      <c r="D28" s="11"/>
      <c r="E28" s="39" t="s">
        <v>70</v>
      </c>
      <c r="F28" s="40">
        <v>9000000</v>
      </c>
      <c r="G28" s="12">
        <v>0</v>
      </c>
      <c r="H28" s="12">
        <v>0</v>
      </c>
      <c r="I28" s="11">
        <v>0</v>
      </c>
      <c r="J28" s="11">
        <v>1225000</v>
      </c>
      <c r="K28" s="11">
        <v>6775000</v>
      </c>
      <c r="L28" s="11"/>
      <c r="M28" s="11">
        <f t="shared" si="0"/>
        <v>8000000</v>
      </c>
      <c r="N28" s="11">
        <f t="shared" si="1"/>
        <v>1000000</v>
      </c>
      <c r="O28" s="11">
        <f t="shared" si="2"/>
        <v>7619047.6190476194</v>
      </c>
      <c r="P28" s="2" t="s">
        <v>121</v>
      </c>
    </row>
    <row r="29" spans="1:16" ht="12.95" customHeight="1" x14ac:dyDescent="0.2">
      <c r="A29" s="10">
        <v>24</v>
      </c>
      <c r="B29" s="39">
        <v>144</v>
      </c>
      <c r="C29" s="1">
        <v>2040</v>
      </c>
      <c r="D29" s="11"/>
      <c r="E29" s="39" t="s">
        <v>71</v>
      </c>
      <c r="F29" s="40">
        <v>9070000</v>
      </c>
      <c r="G29" s="12">
        <v>0</v>
      </c>
      <c r="H29" s="12">
        <v>0</v>
      </c>
      <c r="I29" s="11">
        <v>0</v>
      </c>
      <c r="J29" s="11">
        <f>25000+200000+40000+100000+60000</f>
        <v>425000</v>
      </c>
      <c r="K29" s="11">
        <f>1500000+1700000</f>
        <v>3200000</v>
      </c>
      <c r="L29" s="11"/>
      <c r="M29" s="11">
        <f t="shared" si="0"/>
        <v>3625000</v>
      </c>
      <c r="N29" s="11">
        <f t="shared" si="1"/>
        <v>5445000</v>
      </c>
      <c r="O29" s="11">
        <f t="shared" si="2"/>
        <v>3452380.9523809524</v>
      </c>
      <c r="P29" s="41" t="s">
        <v>121</v>
      </c>
    </row>
    <row r="30" spans="1:16" ht="12.95" customHeight="1" x14ac:dyDescent="0.2">
      <c r="A30" s="10">
        <v>25</v>
      </c>
      <c r="B30" s="39">
        <v>145</v>
      </c>
      <c r="C30" s="1">
        <v>2040</v>
      </c>
      <c r="D30" s="11"/>
      <c r="E30" s="39" t="s">
        <v>72</v>
      </c>
      <c r="F30" s="40">
        <v>9100000</v>
      </c>
      <c r="G30" s="12">
        <v>0</v>
      </c>
      <c r="H30" s="12">
        <v>0</v>
      </c>
      <c r="I30" s="11">
        <v>0</v>
      </c>
      <c r="J30" s="11">
        <v>1225000</v>
      </c>
      <c r="K30" s="11">
        <f>3600000+499000+1072000</f>
        <v>5171000</v>
      </c>
      <c r="L30" s="11"/>
      <c r="M30" s="11">
        <f t="shared" si="0"/>
        <v>6396000</v>
      </c>
      <c r="N30" s="11">
        <f t="shared" si="1"/>
        <v>2704000</v>
      </c>
      <c r="O30" s="11">
        <f t="shared" si="2"/>
        <v>6091428.5714285718</v>
      </c>
      <c r="P30" s="41" t="s">
        <v>121</v>
      </c>
    </row>
    <row r="31" spans="1:16" ht="12.95" customHeight="1" x14ac:dyDescent="0.2">
      <c r="A31" s="10">
        <v>26</v>
      </c>
      <c r="B31" s="39">
        <v>146</v>
      </c>
      <c r="C31" s="1">
        <v>2040</v>
      </c>
      <c r="D31" s="11"/>
      <c r="E31" s="55" t="s">
        <v>122</v>
      </c>
      <c r="F31" s="40">
        <v>12375000</v>
      </c>
      <c r="G31" s="12">
        <v>0</v>
      </c>
      <c r="H31" s="12">
        <v>0</v>
      </c>
      <c r="I31" s="11">
        <v>0</v>
      </c>
      <c r="J31" s="11">
        <v>0</v>
      </c>
      <c r="K31" s="11">
        <v>25000</v>
      </c>
      <c r="L31" s="11"/>
      <c r="M31" s="11">
        <f t="shared" si="0"/>
        <v>25000</v>
      </c>
      <c r="N31" s="11">
        <f t="shared" si="1"/>
        <v>12350000</v>
      </c>
      <c r="O31" s="11">
        <f t="shared" si="2"/>
        <v>23809.523809523809</v>
      </c>
      <c r="P31" s="41" t="s">
        <v>121</v>
      </c>
    </row>
    <row r="32" spans="1:16" ht="12.95" customHeight="1" x14ac:dyDescent="0.2">
      <c r="A32" s="10">
        <v>26</v>
      </c>
      <c r="B32" s="39">
        <v>148</v>
      </c>
      <c r="C32" s="1">
        <v>2040</v>
      </c>
      <c r="D32" s="11"/>
      <c r="E32" s="39" t="s">
        <v>73</v>
      </c>
      <c r="F32" s="40">
        <v>8930000</v>
      </c>
      <c r="G32" s="12">
        <v>0</v>
      </c>
      <c r="H32" s="12">
        <v>0</v>
      </c>
      <c r="I32" s="11">
        <v>0</v>
      </c>
      <c r="J32" s="11">
        <v>2725000</v>
      </c>
      <c r="K32" s="11">
        <v>2500000</v>
      </c>
      <c r="L32" s="11"/>
      <c r="M32" s="11">
        <f t="shared" si="0"/>
        <v>5225000</v>
      </c>
      <c r="N32" s="11">
        <f t="shared" si="1"/>
        <v>3705000</v>
      </c>
      <c r="O32" s="11">
        <f t="shared" si="2"/>
        <v>4976190.4761904757</v>
      </c>
      <c r="P32" s="2" t="s">
        <v>121</v>
      </c>
    </row>
    <row r="33" spans="1:16" ht="12.95" customHeight="1" x14ac:dyDescent="0.2">
      <c r="A33" s="10">
        <v>27</v>
      </c>
      <c r="B33" s="39">
        <v>149</v>
      </c>
      <c r="C33" s="1">
        <v>2040</v>
      </c>
      <c r="D33" s="11"/>
      <c r="E33" s="39" t="s">
        <v>74</v>
      </c>
      <c r="F33" s="40">
        <v>8600000</v>
      </c>
      <c r="G33" s="12"/>
      <c r="H33" s="12"/>
      <c r="I33" s="11">
        <v>0</v>
      </c>
      <c r="J33" s="11">
        <v>1225000</v>
      </c>
      <c r="K33" s="11">
        <v>3779000</v>
      </c>
      <c r="L33" s="11"/>
      <c r="M33" s="11">
        <f t="shared" si="0"/>
        <v>5004000</v>
      </c>
      <c r="N33" s="11">
        <f t="shared" si="1"/>
        <v>3596000</v>
      </c>
      <c r="O33" s="11">
        <f t="shared" si="2"/>
        <v>4765714.2857142854</v>
      </c>
      <c r="P33" s="2" t="s">
        <v>121</v>
      </c>
    </row>
    <row r="34" spans="1:16" ht="12.95" customHeight="1" x14ac:dyDescent="0.2">
      <c r="A34" s="10">
        <v>28</v>
      </c>
      <c r="B34" s="39">
        <v>150</v>
      </c>
      <c r="C34" s="1">
        <v>2040</v>
      </c>
      <c r="D34" s="11"/>
      <c r="E34" s="39" t="s">
        <v>75</v>
      </c>
      <c r="F34" s="40">
        <v>8600000</v>
      </c>
      <c r="G34" s="12">
        <v>0</v>
      </c>
      <c r="H34" s="12">
        <v>0</v>
      </c>
      <c r="I34" s="11">
        <v>0</v>
      </c>
      <c r="J34" s="11">
        <v>0</v>
      </c>
      <c r="K34" s="11">
        <f>1225000+3779000</f>
        <v>5004000</v>
      </c>
      <c r="L34" s="11"/>
      <c r="M34" s="11">
        <f t="shared" si="0"/>
        <v>5004000</v>
      </c>
      <c r="N34" s="11">
        <f t="shared" si="1"/>
        <v>3596000</v>
      </c>
      <c r="O34" s="11">
        <f t="shared" si="2"/>
        <v>4765714.2857142854</v>
      </c>
      <c r="P34" s="41" t="s">
        <v>121</v>
      </c>
    </row>
    <row r="35" spans="1:16" ht="12.95" customHeight="1" x14ac:dyDescent="0.2">
      <c r="A35" s="10">
        <v>29</v>
      </c>
      <c r="B35" s="39">
        <v>151</v>
      </c>
      <c r="C35" s="1">
        <v>2040</v>
      </c>
      <c r="D35" s="11"/>
      <c r="E35" s="39" t="s">
        <v>76</v>
      </c>
      <c r="F35" s="40">
        <v>8600000</v>
      </c>
      <c r="G35" s="12">
        <v>0</v>
      </c>
      <c r="H35" s="12">
        <v>0</v>
      </c>
      <c r="I35" s="11">
        <v>0</v>
      </c>
      <c r="J35" s="11">
        <v>0</v>
      </c>
      <c r="K35" s="11">
        <v>1225007</v>
      </c>
      <c r="L35" s="11"/>
      <c r="M35" s="11">
        <f t="shared" si="0"/>
        <v>1225007</v>
      </c>
      <c r="N35" s="11">
        <f t="shared" si="1"/>
        <v>7374993</v>
      </c>
      <c r="O35" s="11">
        <f t="shared" si="2"/>
        <v>1166673.3333333333</v>
      </c>
      <c r="P35" s="2" t="s">
        <v>121</v>
      </c>
    </row>
    <row r="36" spans="1:16" ht="12.95" customHeight="1" x14ac:dyDescent="0.2">
      <c r="A36" s="10">
        <v>30</v>
      </c>
      <c r="B36" s="39">
        <v>152</v>
      </c>
      <c r="C36" s="1">
        <v>2040</v>
      </c>
      <c r="D36" s="11"/>
      <c r="E36" s="39" t="s">
        <v>77</v>
      </c>
      <c r="F36" s="40">
        <v>9381000</v>
      </c>
      <c r="G36" s="12">
        <v>0</v>
      </c>
      <c r="H36" s="12">
        <v>0</v>
      </c>
      <c r="I36" s="11">
        <v>0</v>
      </c>
      <c r="J36" s="11">
        <v>1200000</v>
      </c>
      <c r="K36" s="11">
        <v>4310000</v>
      </c>
      <c r="L36" s="11"/>
      <c r="M36" s="11">
        <f t="shared" si="0"/>
        <v>5510000</v>
      </c>
      <c r="N36" s="11">
        <f t="shared" si="1"/>
        <v>3871000</v>
      </c>
      <c r="O36" s="11">
        <f t="shared" si="2"/>
        <v>5247619.0476190476</v>
      </c>
      <c r="P36" s="2" t="s">
        <v>121</v>
      </c>
    </row>
    <row r="37" spans="1:16" ht="12.95" customHeight="1" x14ac:dyDescent="0.2">
      <c r="A37" s="10">
        <v>31</v>
      </c>
      <c r="B37" s="39">
        <v>153</v>
      </c>
      <c r="C37" s="1">
        <v>2040</v>
      </c>
      <c r="D37" s="11"/>
      <c r="E37" s="39" t="s">
        <v>78</v>
      </c>
      <c r="F37" s="40">
        <v>9100000</v>
      </c>
      <c r="G37" s="12">
        <v>0</v>
      </c>
      <c r="H37" s="12">
        <v>0</v>
      </c>
      <c r="I37" s="11">
        <v>0</v>
      </c>
      <c r="J37" s="11">
        <v>1200000</v>
      </c>
      <c r="K37" s="11">
        <f>200000+4000000+1092000</f>
        <v>5292000</v>
      </c>
      <c r="L37" s="11"/>
      <c r="M37" s="11">
        <f t="shared" si="0"/>
        <v>6492000</v>
      </c>
      <c r="N37" s="11">
        <f t="shared" si="1"/>
        <v>2608000</v>
      </c>
      <c r="O37" s="11">
        <f t="shared" si="2"/>
        <v>6182857.1428571427</v>
      </c>
      <c r="P37" s="2" t="s">
        <v>121</v>
      </c>
    </row>
    <row r="38" spans="1:16" ht="12.95" customHeight="1" x14ac:dyDescent="0.2">
      <c r="A38" s="10">
        <v>32</v>
      </c>
      <c r="B38" s="39">
        <v>154</v>
      </c>
      <c r="C38" s="1">
        <v>2040</v>
      </c>
      <c r="D38" s="11"/>
      <c r="E38" s="39" t="s">
        <v>79</v>
      </c>
      <c r="F38" s="40">
        <v>9100000</v>
      </c>
      <c r="G38" s="12">
        <v>0</v>
      </c>
      <c r="H38" s="12">
        <v>0</v>
      </c>
      <c r="I38" s="11">
        <v>0</v>
      </c>
      <c r="J38" s="11">
        <v>1225000</v>
      </c>
      <c r="K38" s="11">
        <f>1400000+2000006+699000</f>
        <v>4099006</v>
      </c>
      <c r="L38" s="11"/>
      <c r="M38" s="11">
        <f t="shared" si="0"/>
        <v>5324006</v>
      </c>
      <c r="N38" s="11">
        <f t="shared" si="1"/>
        <v>3775994</v>
      </c>
      <c r="O38" s="11">
        <f t="shared" si="2"/>
        <v>5070481.9047619049</v>
      </c>
      <c r="P38" s="41" t="s">
        <v>121</v>
      </c>
    </row>
    <row r="39" spans="1:16" ht="12.95" customHeight="1" x14ac:dyDescent="0.2">
      <c r="A39" s="10">
        <v>33</v>
      </c>
      <c r="B39" s="39">
        <v>155</v>
      </c>
      <c r="C39" s="1">
        <v>2040</v>
      </c>
      <c r="D39" s="11"/>
      <c r="E39" s="39" t="s">
        <v>80</v>
      </c>
      <c r="F39" s="40">
        <v>8850000</v>
      </c>
      <c r="G39" s="12">
        <v>0</v>
      </c>
      <c r="H39" s="12">
        <v>0</v>
      </c>
      <c r="I39" s="11">
        <v>0</v>
      </c>
      <c r="J39" s="11">
        <v>1225000</v>
      </c>
      <c r="K39" s="11">
        <v>3939000</v>
      </c>
      <c r="L39" s="11"/>
      <c r="M39" s="11">
        <f t="shared" si="0"/>
        <v>5164000</v>
      </c>
      <c r="N39" s="11">
        <f t="shared" si="1"/>
        <v>3686000</v>
      </c>
      <c r="O39" s="11">
        <f t="shared" si="2"/>
        <v>4918095.2380952379</v>
      </c>
      <c r="P39" s="2" t="s">
        <v>121</v>
      </c>
    </row>
    <row r="40" spans="1:16" ht="12.95" customHeight="1" x14ac:dyDescent="0.2">
      <c r="A40" s="10">
        <v>34</v>
      </c>
      <c r="B40" s="39">
        <v>156</v>
      </c>
      <c r="C40" s="1">
        <v>2040</v>
      </c>
      <c r="D40" s="11"/>
      <c r="E40" s="39" t="s">
        <v>81</v>
      </c>
      <c r="F40" s="40">
        <v>7350000</v>
      </c>
      <c r="G40" s="12">
        <v>0</v>
      </c>
      <c r="H40" s="12">
        <v>0</v>
      </c>
      <c r="I40" s="11">
        <v>0</v>
      </c>
      <c r="J40" s="11">
        <v>1225000</v>
      </c>
      <c r="K40" s="11">
        <v>2979000</v>
      </c>
      <c r="L40" s="11"/>
      <c r="M40" s="11">
        <f t="shared" si="0"/>
        <v>4204000</v>
      </c>
      <c r="N40" s="11">
        <f t="shared" si="1"/>
        <v>3146000</v>
      </c>
      <c r="O40" s="11">
        <f t="shared" si="2"/>
        <v>4003809.5238095238</v>
      </c>
      <c r="P40" s="2" t="s">
        <v>121</v>
      </c>
    </row>
    <row r="41" spans="1:16" ht="12.95" customHeight="1" x14ac:dyDescent="0.2">
      <c r="A41" s="10">
        <v>35</v>
      </c>
      <c r="B41" s="39">
        <v>157</v>
      </c>
      <c r="C41" s="1">
        <v>2040</v>
      </c>
      <c r="D41" s="11"/>
      <c r="E41" s="39" t="s">
        <v>82</v>
      </c>
      <c r="F41" s="40">
        <v>8850000</v>
      </c>
      <c r="G41" s="12">
        <v>0</v>
      </c>
      <c r="H41" s="12">
        <v>0</v>
      </c>
      <c r="I41" s="11">
        <v>0</v>
      </c>
      <c r="J41" s="11">
        <v>1225000</v>
      </c>
      <c r="K41" s="11">
        <f>500000+739000+750000+700000+500000+750000</f>
        <v>3939000</v>
      </c>
      <c r="L41" s="11"/>
      <c r="M41" s="11">
        <f t="shared" si="0"/>
        <v>5164000</v>
      </c>
      <c r="N41" s="11">
        <f t="shared" si="1"/>
        <v>3686000</v>
      </c>
      <c r="O41" s="11">
        <f t="shared" si="2"/>
        <v>4918095.2380952379</v>
      </c>
      <c r="P41" s="2" t="s">
        <v>121</v>
      </c>
    </row>
    <row r="42" spans="1:16" ht="12.95" customHeight="1" x14ac:dyDescent="0.2">
      <c r="A42" s="10">
        <v>36</v>
      </c>
      <c r="B42" s="39">
        <v>158</v>
      </c>
      <c r="C42" s="1">
        <v>2040</v>
      </c>
      <c r="D42" s="11"/>
      <c r="E42" s="39" t="s">
        <v>83</v>
      </c>
      <c r="F42" s="40">
        <v>9800000</v>
      </c>
      <c r="G42" s="12">
        <v>0</v>
      </c>
      <c r="H42" s="12">
        <v>0</v>
      </c>
      <c r="I42" s="11">
        <v>0</v>
      </c>
      <c r="J42" s="11">
        <v>0</v>
      </c>
      <c r="K42" s="11">
        <v>1225000</v>
      </c>
      <c r="L42" s="11"/>
      <c r="M42" s="11">
        <f t="shared" si="0"/>
        <v>1225000</v>
      </c>
      <c r="N42" s="11">
        <f t="shared" si="1"/>
        <v>8575000</v>
      </c>
      <c r="O42" s="11">
        <f t="shared" si="2"/>
        <v>1166666.6666666667</v>
      </c>
      <c r="P42" s="2" t="s">
        <v>121</v>
      </c>
    </row>
    <row r="43" spans="1:16" ht="12.95" customHeight="1" x14ac:dyDescent="0.2">
      <c r="A43" s="10">
        <v>37</v>
      </c>
      <c r="B43" s="39">
        <v>159</v>
      </c>
      <c r="C43" s="1">
        <v>2040</v>
      </c>
      <c r="D43" s="11"/>
      <c r="E43" s="39" t="s">
        <v>84</v>
      </c>
      <c r="F43" s="40">
        <v>8600000</v>
      </c>
      <c r="G43" s="12">
        <v>0</v>
      </c>
      <c r="H43" s="12">
        <v>0</v>
      </c>
      <c r="I43" s="11">
        <v>0</v>
      </c>
      <c r="J43" s="11">
        <v>0</v>
      </c>
      <c r="K43" s="11">
        <v>1225000</v>
      </c>
      <c r="L43" s="11"/>
      <c r="M43" s="11">
        <f t="shared" si="0"/>
        <v>1225000</v>
      </c>
      <c r="N43" s="11">
        <f t="shared" si="1"/>
        <v>7375000</v>
      </c>
      <c r="O43" s="11">
        <f t="shared" si="2"/>
        <v>1166666.6666666667</v>
      </c>
      <c r="P43" s="2" t="s">
        <v>121</v>
      </c>
    </row>
    <row r="44" spans="1:16" ht="12.95" customHeight="1" x14ac:dyDescent="0.2">
      <c r="A44" s="10">
        <v>38</v>
      </c>
      <c r="B44" s="39">
        <v>160</v>
      </c>
      <c r="C44" s="1">
        <v>2040</v>
      </c>
      <c r="D44" s="11"/>
      <c r="E44" s="39" t="s">
        <v>85</v>
      </c>
      <c r="F44" s="40">
        <v>7725000</v>
      </c>
      <c r="G44" s="12"/>
      <c r="H44" s="12"/>
      <c r="I44" s="11">
        <v>0</v>
      </c>
      <c r="J44" s="11">
        <v>0</v>
      </c>
      <c r="K44" s="11">
        <f>1225000+1619000+1600000</f>
        <v>4444000</v>
      </c>
      <c r="L44" s="11"/>
      <c r="M44" s="11">
        <f t="shared" si="0"/>
        <v>4444000</v>
      </c>
      <c r="N44" s="11">
        <f t="shared" si="1"/>
        <v>3281000</v>
      </c>
      <c r="O44" s="11">
        <f t="shared" si="2"/>
        <v>4232380.9523809524</v>
      </c>
      <c r="P44" s="2" t="s">
        <v>121</v>
      </c>
    </row>
    <row r="45" spans="1:16" ht="12.95" customHeight="1" x14ac:dyDescent="0.2">
      <c r="A45" s="10">
        <v>39</v>
      </c>
      <c r="B45" s="39">
        <v>161</v>
      </c>
      <c r="C45" s="1">
        <v>2040</v>
      </c>
      <c r="D45" s="11"/>
      <c r="E45" s="39" t="s">
        <v>86</v>
      </c>
      <c r="F45" s="40">
        <v>10900000</v>
      </c>
      <c r="G45" s="12"/>
      <c r="H45" s="12"/>
      <c r="I45" s="11">
        <v>0</v>
      </c>
      <c r="J45" s="11">
        <v>0</v>
      </c>
      <c r="K45" s="11">
        <f>2355000+5429000</f>
        <v>7784000</v>
      </c>
      <c r="L45" s="11"/>
      <c r="M45" s="11">
        <f t="shared" si="0"/>
        <v>7784000</v>
      </c>
      <c r="N45" s="11">
        <f t="shared" si="1"/>
        <v>3116000</v>
      </c>
      <c r="O45" s="11">
        <f t="shared" si="2"/>
        <v>7413333.333333333</v>
      </c>
      <c r="P45" s="2" t="s">
        <v>121</v>
      </c>
    </row>
    <row r="46" spans="1:16" ht="12.95" customHeight="1" x14ac:dyDescent="0.2">
      <c r="A46" s="10">
        <v>40</v>
      </c>
      <c r="B46" s="39">
        <v>162</v>
      </c>
      <c r="C46" s="1">
        <v>2040</v>
      </c>
      <c r="D46" s="11"/>
      <c r="E46" s="39" t="s">
        <v>87</v>
      </c>
      <c r="F46" s="40">
        <v>7850000</v>
      </c>
      <c r="G46" s="12">
        <v>0</v>
      </c>
      <c r="H46" s="12">
        <v>0</v>
      </c>
      <c r="I46" s="11">
        <v>0</v>
      </c>
      <c r="J46" s="11">
        <v>1225000</v>
      </c>
      <c r="K46" s="11">
        <v>4900000</v>
      </c>
      <c r="L46" s="11"/>
      <c r="M46" s="11">
        <f t="shared" si="0"/>
        <v>6125000</v>
      </c>
      <c r="N46" s="11">
        <f t="shared" si="1"/>
        <v>1725000</v>
      </c>
      <c r="O46" s="11">
        <f t="shared" si="2"/>
        <v>5833333.333333333</v>
      </c>
      <c r="P46" s="2" t="s">
        <v>121</v>
      </c>
    </row>
    <row r="47" spans="1:16" ht="12.95" customHeight="1" x14ac:dyDescent="0.2">
      <c r="A47" s="10">
        <v>41</v>
      </c>
      <c r="B47" s="39">
        <v>163</v>
      </c>
      <c r="C47" s="1">
        <v>2040</v>
      </c>
      <c r="D47" s="11"/>
      <c r="E47" s="39" t="s">
        <v>88</v>
      </c>
      <c r="F47" s="40">
        <v>9700000</v>
      </c>
      <c r="G47" s="12">
        <v>0</v>
      </c>
      <c r="H47" s="12">
        <v>0</v>
      </c>
      <c r="I47" s="11">
        <v>0</v>
      </c>
      <c r="J47" s="11">
        <v>0</v>
      </c>
      <c r="K47" s="11">
        <v>6872000</v>
      </c>
      <c r="L47" s="11"/>
      <c r="M47" s="11">
        <f t="shared" si="0"/>
        <v>6872000</v>
      </c>
      <c r="N47" s="11">
        <f t="shared" si="1"/>
        <v>2828000</v>
      </c>
      <c r="O47" s="11">
        <f t="shared" si="2"/>
        <v>6544761.9047619049</v>
      </c>
      <c r="P47" s="2" t="s">
        <v>121</v>
      </c>
    </row>
    <row r="48" spans="1:16" ht="12.95" customHeight="1" x14ac:dyDescent="0.2">
      <c r="A48" s="10">
        <v>42</v>
      </c>
      <c r="B48" s="39">
        <v>164</v>
      </c>
      <c r="C48" s="1">
        <v>2040</v>
      </c>
      <c r="D48" s="11"/>
      <c r="E48" s="39" t="s">
        <v>89</v>
      </c>
      <c r="F48" s="40">
        <v>8300000</v>
      </c>
      <c r="G48" s="12">
        <v>0</v>
      </c>
      <c r="H48" s="12">
        <v>0</v>
      </c>
      <c r="I48" s="11">
        <v>0</v>
      </c>
      <c r="J48" s="11">
        <v>0</v>
      </c>
      <c r="K48" s="11">
        <f>725000+3581100+500000</f>
        <v>4806100</v>
      </c>
      <c r="L48" s="11"/>
      <c r="M48" s="11">
        <f t="shared" si="0"/>
        <v>4806100</v>
      </c>
      <c r="N48" s="11">
        <f t="shared" si="1"/>
        <v>3493900</v>
      </c>
      <c r="O48" s="11">
        <f t="shared" si="2"/>
        <v>4577238.0952380951</v>
      </c>
      <c r="P48" s="41" t="s">
        <v>121</v>
      </c>
    </row>
    <row r="49" spans="1:16" ht="12.95" customHeight="1" x14ac:dyDescent="0.2">
      <c r="A49" s="10">
        <v>43</v>
      </c>
      <c r="B49" s="39">
        <v>165</v>
      </c>
      <c r="C49" s="1">
        <v>2040</v>
      </c>
      <c r="D49" s="11"/>
      <c r="E49" s="39" t="s">
        <v>90</v>
      </c>
      <c r="F49" s="40">
        <v>5000000</v>
      </c>
      <c r="G49" s="12">
        <v>0</v>
      </c>
      <c r="H49" s="12">
        <v>0</v>
      </c>
      <c r="I49" s="11">
        <v>0</v>
      </c>
      <c r="J49" s="11">
        <v>4260007</v>
      </c>
      <c r="K49" s="11">
        <v>0</v>
      </c>
      <c r="L49" s="11"/>
      <c r="M49" s="11">
        <f t="shared" si="0"/>
        <v>4260007</v>
      </c>
      <c r="N49" s="11">
        <f t="shared" si="1"/>
        <v>739993</v>
      </c>
      <c r="O49" s="11">
        <f t="shared" si="2"/>
        <v>4057149.5238095238</v>
      </c>
      <c r="P49" s="2" t="s">
        <v>121</v>
      </c>
    </row>
    <row r="50" spans="1:16" ht="12.95" customHeight="1" x14ac:dyDescent="0.2">
      <c r="A50" s="10">
        <v>44</v>
      </c>
      <c r="B50" s="39">
        <v>166</v>
      </c>
      <c r="C50" s="1">
        <v>2040</v>
      </c>
      <c r="D50" s="11"/>
      <c r="E50" s="39" t="s">
        <v>91</v>
      </c>
      <c r="F50" s="40">
        <v>10875000</v>
      </c>
      <c r="G50" s="12">
        <v>0</v>
      </c>
      <c r="H50" s="12">
        <v>0</v>
      </c>
      <c r="I50" s="11">
        <v>0</v>
      </c>
      <c r="J50" s="11">
        <v>0</v>
      </c>
      <c r="K50" s="11">
        <f>1225000+5235000</f>
        <v>6460000</v>
      </c>
      <c r="L50" s="11"/>
      <c r="M50" s="11">
        <f t="shared" si="0"/>
        <v>6460000</v>
      </c>
      <c r="N50" s="11">
        <f t="shared" si="1"/>
        <v>4415000</v>
      </c>
      <c r="O50" s="11">
        <f t="shared" si="2"/>
        <v>6152380.9523809524</v>
      </c>
      <c r="P50" s="41" t="s">
        <v>121</v>
      </c>
    </row>
    <row r="51" spans="1:16" ht="12.95" customHeight="1" x14ac:dyDescent="0.2">
      <c r="A51" s="10">
        <v>45</v>
      </c>
      <c r="B51" s="39">
        <v>168</v>
      </c>
      <c r="C51" s="1">
        <v>2040</v>
      </c>
      <c r="D51" s="11"/>
      <c r="E51" s="39" t="s">
        <v>92</v>
      </c>
      <c r="F51" s="40">
        <v>10900000</v>
      </c>
      <c r="G51" s="12">
        <v>0</v>
      </c>
      <c r="H51" s="12">
        <v>0</v>
      </c>
      <c r="I51" s="11">
        <v>0</v>
      </c>
      <c r="J51" s="11">
        <v>0</v>
      </c>
      <c r="K51" s="11">
        <f>725000+500000</f>
        <v>1225000</v>
      </c>
      <c r="L51" s="11"/>
      <c r="M51" s="11">
        <f t="shared" si="0"/>
        <v>1225000</v>
      </c>
      <c r="N51" s="11">
        <f t="shared" si="1"/>
        <v>9675000</v>
      </c>
      <c r="O51" s="11">
        <f t="shared" si="2"/>
        <v>1166666.6666666667</v>
      </c>
      <c r="P51" s="41" t="s">
        <v>121</v>
      </c>
    </row>
    <row r="52" spans="1:16" ht="12.95" customHeight="1" x14ac:dyDescent="0.2">
      <c r="A52" s="10">
        <v>46</v>
      </c>
      <c r="B52" s="39">
        <v>169</v>
      </c>
      <c r="C52" s="1">
        <v>2040</v>
      </c>
      <c r="D52" s="11"/>
      <c r="E52" s="39" t="s">
        <v>93</v>
      </c>
      <c r="F52" s="40">
        <v>11350000</v>
      </c>
      <c r="G52" s="12">
        <v>0</v>
      </c>
      <c r="H52" s="12">
        <v>0</v>
      </c>
      <c r="I52" s="11">
        <v>0</v>
      </c>
      <c r="J52" s="11">
        <v>0</v>
      </c>
      <c r="K52" s="11">
        <f>225000+1000000</f>
        <v>1225000</v>
      </c>
      <c r="L52" s="11"/>
      <c r="M52" s="11">
        <f t="shared" si="0"/>
        <v>1225000</v>
      </c>
      <c r="N52" s="11">
        <f t="shared" si="1"/>
        <v>10125000</v>
      </c>
      <c r="O52" s="11">
        <f t="shared" si="2"/>
        <v>1166666.6666666667</v>
      </c>
      <c r="P52" s="41" t="s">
        <v>121</v>
      </c>
    </row>
    <row r="53" spans="1:16" ht="12.95" customHeight="1" x14ac:dyDescent="0.2">
      <c r="A53" s="10">
        <v>47</v>
      </c>
      <c r="B53" s="39">
        <v>170</v>
      </c>
      <c r="C53" s="1">
        <v>2040</v>
      </c>
      <c r="D53" s="11"/>
      <c r="E53" s="39" t="s">
        <v>94</v>
      </c>
      <c r="F53" s="40">
        <v>10400000</v>
      </c>
      <c r="G53" s="12">
        <v>0</v>
      </c>
      <c r="H53" s="12">
        <v>0</v>
      </c>
      <c r="I53" s="11">
        <v>0</v>
      </c>
      <c r="J53" s="11">
        <v>0</v>
      </c>
      <c r="K53" s="11">
        <v>1425000</v>
      </c>
      <c r="L53" s="11"/>
      <c r="M53" s="11">
        <f t="shared" si="0"/>
        <v>1425000</v>
      </c>
      <c r="N53" s="11">
        <f t="shared" si="1"/>
        <v>8975000</v>
      </c>
      <c r="O53" s="11">
        <f t="shared" si="2"/>
        <v>1357142.857142857</v>
      </c>
      <c r="P53" s="2" t="s">
        <v>121</v>
      </c>
    </row>
    <row r="54" spans="1:16" ht="12.95" customHeight="1" x14ac:dyDescent="0.2">
      <c r="A54" s="10">
        <v>48</v>
      </c>
      <c r="B54" s="39">
        <v>171</v>
      </c>
      <c r="C54" s="1">
        <v>2040</v>
      </c>
      <c r="D54" s="11"/>
      <c r="E54" s="39" t="s">
        <v>95</v>
      </c>
      <c r="F54" s="40">
        <v>11400000</v>
      </c>
      <c r="G54" s="12">
        <v>0</v>
      </c>
      <c r="H54" s="12">
        <v>0</v>
      </c>
      <c r="I54" s="11">
        <v>0</v>
      </c>
      <c r="J54" s="11">
        <v>0</v>
      </c>
      <c r="K54" s="11">
        <f>225000+1000000</f>
        <v>1225000</v>
      </c>
      <c r="L54" s="11"/>
      <c r="M54" s="11">
        <f t="shared" si="0"/>
        <v>1225000</v>
      </c>
      <c r="N54" s="11">
        <f t="shared" si="1"/>
        <v>10175000</v>
      </c>
      <c r="O54" s="11">
        <f t="shared" si="2"/>
        <v>1166666.6666666667</v>
      </c>
      <c r="P54" s="41" t="s">
        <v>121</v>
      </c>
    </row>
    <row r="55" spans="1:16" ht="12.95" customHeight="1" x14ac:dyDescent="0.2">
      <c r="A55" s="10">
        <v>49</v>
      </c>
      <c r="B55" s="39">
        <v>174</v>
      </c>
      <c r="C55" s="1">
        <v>2040</v>
      </c>
      <c r="D55" s="11"/>
      <c r="E55" s="39" t="s">
        <v>96</v>
      </c>
      <c r="F55" s="40">
        <v>10000000</v>
      </c>
      <c r="G55" s="12">
        <v>0</v>
      </c>
      <c r="H55" s="12">
        <v>0</v>
      </c>
      <c r="I55" s="11">
        <v>0</v>
      </c>
      <c r="J55" s="11">
        <v>0</v>
      </c>
      <c r="K55" s="11">
        <v>1225000</v>
      </c>
      <c r="L55" s="11"/>
      <c r="M55" s="11">
        <f t="shared" si="0"/>
        <v>1225000</v>
      </c>
      <c r="N55" s="11">
        <f t="shared" si="1"/>
        <v>8775000</v>
      </c>
      <c r="O55" s="11">
        <f t="shared" si="2"/>
        <v>1166666.6666666667</v>
      </c>
      <c r="P55" s="2" t="s">
        <v>121</v>
      </c>
    </row>
    <row r="56" spans="1:16" ht="12.95" customHeight="1" x14ac:dyDescent="0.2">
      <c r="A56" s="10">
        <v>50</v>
      </c>
      <c r="B56" s="39">
        <v>175</v>
      </c>
      <c r="C56" s="1">
        <v>2040</v>
      </c>
      <c r="D56" s="11"/>
      <c r="E56" s="39" t="s">
        <v>97</v>
      </c>
      <c r="F56" s="40">
        <v>10875000</v>
      </c>
      <c r="G56" s="12">
        <v>0</v>
      </c>
      <c r="H56" s="12">
        <v>0</v>
      </c>
      <c r="I56" s="11">
        <v>0</v>
      </c>
      <c r="J56" s="11">
        <v>0</v>
      </c>
      <c r="K56" s="11">
        <v>1225000</v>
      </c>
      <c r="L56" s="11"/>
      <c r="M56" s="11">
        <f t="shared" si="0"/>
        <v>1225000</v>
      </c>
      <c r="N56" s="11">
        <f t="shared" si="1"/>
        <v>9650000</v>
      </c>
      <c r="O56" s="11">
        <f t="shared" si="2"/>
        <v>1166666.6666666667</v>
      </c>
      <c r="P56" s="2" t="s">
        <v>121</v>
      </c>
    </row>
    <row r="57" spans="1:16" ht="12.95" customHeight="1" x14ac:dyDescent="0.2">
      <c r="A57" s="10">
        <v>51</v>
      </c>
      <c r="B57" s="39">
        <v>176</v>
      </c>
      <c r="C57" s="1">
        <v>2040</v>
      </c>
      <c r="D57" s="11"/>
      <c r="E57" s="39" t="s">
        <v>98</v>
      </c>
      <c r="F57" s="40">
        <v>10000000</v>
      </c>
      <c r="G57" s="12">
        <v>0</v>
      </c>
      <c r="H57" s="12">
        <v>0</v>
      </c>
      <c r="I57" s="11">
        <v>0</v>
      </c>
      <c r="J57" s="11">
        <v>0</v>
      </c>
      <c r="K57" s="11">
        <f>1225000+500000+500000+250000+3400000</f>
        <v>5875000</v>
      </c>
      <c r="L57" s="11"/>
      <c r="M57" s="11">
        <f t="shared" si="0"/>
        <v>5875000</v>
      </c>
      <c r="N57" s="11">
        <f t="shared" si="1"/>
        <v>4125000</v>
      </c>
      <c r="O57" s="11">
        <f t="shared" si="2"/>
        <v>5595238.0952380951</v>
      </c>
      <c r="P57" s="41" t="s">
        <v>121</v>
      </c>
    </row>
    <row r="58" spans="1:16" ht="12.95" customHeight="1" x14ac:dyDescent="0.2">
      <c r="A58" s="10">
        <v>52</v>
      </c>
      <c r="B58" s="39">
        <v>177</v>
      </c>
      <c r="C58" s="1">
        <v>2040</v>
      </c>
      <c r="D58" s="11"/>
      <c r="E58" s="39" t="s">
        <v>99</v>
      </c>
      <c r="F58" s="40">
        <v>8500000</v>
      </c>
      <c r="G58" s="12">
        <v>0</v>
      </c>
      <c r="H58" s="12">
        <v>0</v>
      </c>
      <c r="I58" s="11">
        <v>0</v>
      </c>
      <c r="J58" s="11">
        <v>0</v>
      </c>
      <c r="K58" s="11">
        <f>1225000+2600000</f>
        <v>3825000</v>
      </c>
      <c r="L58" s="11"/>
      <c r="M58" s="11">
        <f t="shared" si="0"/>
        <v>3825000</v>
      </c>
      <c r="N58" s="11">
        <f t="shared" si="1"/>
        <v>4675000</v>
      </c>
      <c r="O58" s="11">
        <f t="shared" si="2"/>
        <v>3642857.1428571427</v>
      </c>
      <c r="P58" s="2" t="s">
        <v>121</v>
      </c>
    </row>
    <row r="59" spans="1:16" ht="12.95" customHeight="1" x14ac:dyDescent="0.2">
      <c r="A59" s="10">
        <v>53</v>
      </c>
      <c r="B59" s="39">
        <v>178</v>
      </c>
      <c r="C59" s="1">
        <v>2040</v>
      </c>
      <c r="D59" s="11"/>
      <c r="E59" s="39" t="s">
        <v>100</v>
      </c>
      <c r="F59" s="40">
        <v>12400000</v>
      </c>
      <c r="G59" s="12"/>
      <c r="H59" s="12"/>
      <c r="I59" s="11">
        <v>0</v>
      </c>
      <c r="J59" s="11">
        <v>0</v>
      </c>
      <c r="K59" s="11">
        <f>225000+2200000</f>
        <v>2425000</v>
      </c>
      <c r="L59" s="11"/>
      <c r="M59" s="11">
        <f t="shared" si="0"/>
        <v>2425000</v>
      </c>
      <c r="N59" s="11">
        <f>F59-M59</f>
        <v>9975000</v>
      </c>
      <c r="O59" s="11">
        <f>M59*100/105</f>
        <v>2309523.8095238097</v>
      </c>
      <c r="P59" s="2" t="s">
        <v>121</v>
      </c>
    </row>
    <row r="60" spans="1:16" s="50" customFormat="1" ht="12.95" customHeight="1" x14ac:dyDescent="0.2">
      <c r="A60" s="45">
        <v>54</v>
      </c>
      <c r="B60" s="46">
        <v>179</v>
      </c>
      <c r="C60" s="47">
        <v>2040</v>
      </c>
      <c r="D60" s="44"/>
      <c r="E60" s="46" t="s">
        <v>101</v>
      </c>
      <c r="F60" s="48">
        <v>9800000</v>
      </c>
      <c r="G60" s="49">
        <v>0</v>
      </c>
      <c r="H60" s="49">
        <v>0</v>
      </c>
      <c r="I60" s="44">
        <v>0</v>
      </c>
      <c r="J60" s="44">
        <v>0</v>
      </c>
      <c r="K60" s="44">
        <f>225000+1000000+1000000+1000000+1000000+2800000</f>
        <v>7025000</v>
      </c>
      <c r="L60" s="44"/>
      <c r="M60" s="44">
        <f t="shared" si="0"/>
        <v>7025000</v>
      </c>
      <c r="N60" s="44">
        <f t="shared" si="1"/>
        <v>2775000</v>
      </c>
      <c r="O60" s="44">
        <f t="shared" si="2"/>
        <v>6690476.1904761903</v>
      </c>
      <c r="P60" s="51"/>
    </row>
    <row r="61" spans="1:16" ht="12.95" customHeight="1" x14ac:dyDescent="0.2">
      <c r="A61" s="10">
        <v>55</v>
      </c>
      <c r="B61" s="39">
        <v>180</v>
      </c>
      <c r="C61" s="1">
        <v>2040</v>
      </c>
      <c r="D61" s="11"/>
      <c r="E61" s="39" t="s">
        <v>102</v>
      </c>
      <c r="F61" s="40">
        <v>9800000</v>
      </c>
      <c r="G61" s="13"/>
      <c r="H61" s="11"/>
      <c r="I61" s="11">
        <v>0</v>
      </c>
      <c r="J61" s="11">
        <v>225000</v>
      </c>
      <c r="K61" s="11">
        <f>5547000+1176000</f>
        <v>6723000</v>
      </c>
      <c r="L61" s="11"/>
      <c r="M61" s="11">
        <f t="shared" si="0"/>
        <v>6948000</v>
      </c>
      <c r="N61" s="11">
        <f t="shared" si="1"/>
        <v>2852000</v>
      </c>
      <c r="O61" s="11">
        <f t="shared" si="2"/>
        <v>6617142.8571428573</v>
      </c>
      <c r="P61" s="41" t="s">
        <v>121</v>
      </c>
    </row>
    <row r="62" spans="1:16" ht="12.95" customHeight="1" x14ac:dyDescent="0.2">
      <c r="A62" s="10">
        <v>56</v>
      </c>
      <c r="B62" s="39">
        <v>181</v>
      </c>
      <c r="C62" s="1">
        <v>2040</v>
      </c>
      <c r="D62" s="11"/>
      <c r="E62" s="39" t="s">
        <v>103</v>
      </c>
      <c r="F62" s="40">
        <v>9600000</v>
      </c>
      <c r="G62" s="11"/>
      <c r="H62" s="11"/>
      <c r="I62" s="11">
        <v>0</v>
      </c>
      <c r="J62" s="11">
        <v>1000000</v>
      </c>
      <c r="K62" s="11">
        <f>236250+4419000+191200+500000+1152000</f>
        <v>6498450</v>
      </c>
      <c r="L62" s="11"/>
      <c r="M62" s="11">
        <f t="shared" si="0"/>
        <v>7498450</v>
      </c>
      <c r="N62" s="11">
        <f t="shared" si="1"/>
        <v>2101550</v>
      </c>
      <c r="O62" s="11">
        <f t="shared" si="2"/>
        <v>7141380.9523809524</v>
      </c>
      <c r="P62" s="41" t="s">
        <v>121</v>
      </c>
    </row>
    <row r="63" spans="1:16" ht="12.95" customHeight="1" x14ac:dyDescent="0.2">
      <c r="A63" s="10">
        <v>57</v>
      </c>
      <c r="B63" s="39">
        <v>182</v>
      </c>
      <c r="C63" s="1">
        <v>2040</v>
      </c>
      <c r="D63" s="11"/>
      <c r="E63" s="39" t="s">
        <v>104</v>
      </c>
      <c r="F63" s="40">
        <v>9950000</v>
      </c>
      <c r="G63" s="12"/>
      <c r="H63" s="12"/>
      <c r="I63" s="11">
        <v>0</v>
      </c>
      <c r="J63" s="11">
        <v>225000</v>
      </c>
      <c r="K63" s="11">
        <f>1000000+4643000+200000+1194000</f>
        <v>7037000</v>
      </c>
      <c r="L63" s="11"/>
      <c r="M63" s="11">
        <f t="shared" si="0"/>
        <v>7262000</v>
      </c>
      <c r="N63" s="11">
        <f t="shared" si="1"/>
        <v>2688000</v>
      </c>
      <c r="O63" s="11">
        <f t="shared" si="2"/>
        <v>6916190.4761904757</v>
      </c>
      <c r="P63" s="41" t="s">
        <v>121</v>
      </c>
    </row>
    <row r="64" spans="1:16" ht="12.95" customHeight="1" x14ac:dyDescent="0.2">
      <c r="A64" s="10">
        <v>58</v>
      </c>
      <c r="B64" s="39">
        <v>183</v>
      </c>
      <c r="C64" s="1">
        <v>2040</v>
      </c>
      <c r="D64" s="11"/>
      <c r="E64" s="39" t="s">
        <v>105</v>
      </c>
      <c r="F64" s="40">
        <v>10000000</v>
      </c>
      <c r="G64" s="12">
        <v>0</v>
      </c>
      <c r="H64" s="12">
        <v>0</v>
      </c>
      <c r="I64" s="11">
        <v>0</v>
      </c>
      <c r="J64" s="11">
        <v>0</v>
      </c>
      <c r="K64" s="11">
        <f>1225000+4675000+1200000</f>
        <v>7100000</v>
      </c>
      <c r="L64" s="11"/>
      <c r="M64" s="11">
        <f t="shared" si="0"/>
        <v>7100000</v>
      </c>
      <c r="N64" s="11">
        <f t="shared" si="1"/>
        <v>2900000</v>
      </c>
      <c r="O64" s="11">
        <f t="shared" si="2"/>
        <v>6761904.7619047621</v>
      </c>
      <c r="P64" s="41" t="s">
        <v>121</v>
      </c>
    </row>
    <row r="65" spans="1:16" ht="12.95" customHeight="1" x14ac:dyDescent="0.2">
      <c r="A65" s="10">
        <v>59</v>
      </c>
      <c r="B65" s="39">
        <v>184</v>
      </c>
      <c r="C65" s="1">
        <v>2040</v>
      </c>
      <c r="D65" s="11"/>
      <c r="E65" s="39" t="s">
        <v>106</v>
      </c>
      <c r="F65" s="40">
        <v>10000000</v>
      </c>
      <c r="G65" s="12"/>
      <c r="H65" s="12"/>
      <c r="I65" s="11">
        <v>0</v>
      </c>
      <c r="J65" s="11">
        <v>0</v>
      </c>
      <c r="K65" s="11">
        <f>5900000+1200000</f>
        <v>7100000</v>
      </c>
      <c r="L65" s="11"/>
      <c r="M65" s="11">
        <f t="shared" si="0"/>
        <v>7100000</v>
      </c>
      <c r="N65" s="11">
        <f>F65-M65</f>
        <v>2900000</v>
      </c>
      <c r="O65" s="11">
        <f>M65*100/105</f>
        <v>6761904.7619047621</v>
      </c>
      <c r="P65" s="2" t="s">
        <v>121</v>
      </c>
    </row>
    <row r="66" spans="1:16" ht="12.95" customHeight="1" x14ac:dyDescent="0.2">
      <c r="A66" s="10">
        <v>60</v>
      </c>
      <c r="B66" s="39">
        <v>185</v>
      </c>
      <c r="C66" s="1">
        <v>2040</v>
      </c>
      <c r="D66" s="11"/>
      <c r="E66" s="39" t="s">
        <v>107</v>
      </c>
      <c r="F66" s="40">
        <v>10000000</v>
      </c>
      <c r="G66" s="12">
        <v>0</v>
      </c>
      <c r="H66" s="12">
        <v>0</v>
      </c>
      <c r="I66" s="11">
        <v>0</v>
      </c>
      <c r="J66" s="11">
        <v>0</v>
      </c>
      <c r="K66" s="11">
        <v>5900000</v>
      </c>
      <c r="L66" s="11"/>
      <c r="M66" s="11">
        <f t="shared" si="0"/>
        <v>5900000</v>
      </c>
      <c r="N66" s="11">
        <f t="shared" si="1"/>
        <v>4100000</v>
      </c>
      <c r="O66" s="11">
        <f t="shared" si="2"/>
        <v>5619047.6190476194</v>
      </c>
      <c r="P66" s="2" t="s">
        <v>121</v>
      </c>
    </row>
    <row r="67" spans="1:16" ht="12.95" customHeight="1" x14ac:dyDescent="0.2">
      <c r="A67" s="10"/>
      <c r="B67" s="1"/>
      <c r="C67" s="1"/>
      <c r="D67" s="11"/>
      <c r="E67" s="1"/>
      <c r="F67" s="11"/>
      <c r="G67" s="12"/>
      <c r="H67" s="12"/>
      <c r="I67" s="11"/>
      <c r="J67" s="11"/>
      <c r="K67" s="11"/>
      <c r="L67" s="11"/>
      <c r="M67" s="11"/>
      <c r="N67" s="11"/>
      <c r="O67" s="11"/>
    </row>
    <row r="68" spans="1:16" ht="12.95" hidden="1" customHeight="1" x14ac:dyDescent="0.2">
      <c r="A68" s="10">
        <v>117</v>
      </c>
      <c r="B68" s="1"/>
      <c r="C68" s="1"/>
      <c r="D68" s="11"/>
      <c r="E68" s="1"/>
      <c r="F68" s="11"/>
      <c r="G68" s="12"/>
      <c r="H68" s="12"/>
      <c r="I68" s="11"/>
      <c r="J68" s="11"/>
      <c r="K68" s="11"/>
      <c r="L68" s="11"/>
      <c r="M68" s="11"/>
      <c r="N68" s="11"/>
      <c r="O68" s="11"/>
    </row>
    <row r="69" spans="1:16" ht="12.95" hidden="1" customHeight="1" x14ac:dyDescent="0.2">
      <c r="A69" s="10">
        <v>118</v>
      </c>
      <c r="B69" s="1"/>
      <c r="C69" s="1"/>
      <c r="D69" s="11"/>
      <c r="E69" s="1"/>
      <c r="F69" s="11"/>
      <c r="G69" s="12"/>
      <c r="H69" s="12"/>
      <c r="I69" s="11"/>
      <c r="J69" s="11"/>
      <c r="K69" s="11"/>
      <c r="L69" s="11"/>
      <c r="M69" s="11"/>
      <c r="N69" s="11"/>
      <c r="O69" s="11"/>
    </row>
    <row r="70" spans="1:16" ht="12.95" hidden="1" customHeight="1" x14ac:dyDescent="0.2">
      <c r="A70" s="10">
        <v>119</v>
      </c>
      <c r="B70" s="1"/>
      <c r="C70" s="1"/>
      <c r="D70" s="11"/>
      <c r="E70" s="1"/>
      <c r="F70" s="11"/>
      <c r="G70" s="12"/>
      <c r="H70" s="12"/>
      <c r="I70" s="11"/>
      <c r="J70" s="11"/>
      <c r="K70" s="11"/>
      <c r="L70" s="11"/>
      <c r="M70" s="11"/>
      <c r="N70" s="11"/>
      <c r="O70" s="11"/>
    </row>
    <row r="71" spans="1:16" ht="12.95" hidden="1" customHeight="1" x14ac:dyDescent="0.2">
      <c r="A71" s="10">
        <v>120</v>
      </c>
      <c r="B71" s="1"/>
      <c r="C71" s="1"/>
      <c r="D71" s="11"/>
      <c r="E71" s="1"/>
      <c r="F71" s="11"/>
      <c r="G71" s="12"/>
      <c r="H71" s="12"/>
      <c r="I71" s="11"/>
      <c r="J71" s="11"/>
      <c r="K71" s="11"/>
      <c r="L71" s="11"/>
      <c r="M71" s="11"/>
      <c r="N71" s="11"/>
      <c r="O71" s="11"/>
    </row>
    <row r="72" spans="1:16" ht="12.95" hidden="1" customHeight="1" x14ac:dyDescent="0.2">
      <c r="A72" s="10">
        <v>121</v>
      </c>
      <c r="B72" s="1"/>
      <c r="C72" s="1"/>
      <c r="D72" s="11"/>
      <c r="E72" s="1"/>
      <c r="F72" s="11"/>
      <c r="G72" s="12"/>
      <c r="H72" s="12"/>
      <c r="I72" s="11"/>
      <c r="J72" s="11"/>
      <c r="K72" s="11"/>
      <c r="L72" s="11"/>
      <c r="M72" s="11"/>
      <c r="N72" s="11"/>
      <c r="O72" s="11"/>
    </row>
    <row r="73" spans="1:16" ht="12.95" hidden="1" customHeight="1" x14ac:dyDescent="0.2">
      <c r="A73" s="10">
        <v>122</v>
      </c>
      <c r="B73" s="1"/>
      <c r="C73" s="1"/>
      <c r="D73" s="11"/>
      <c r="E73" s="1"/>
      <c r="F73" s="11"/>
      <c r="G73" s="12"/>
      <c r="H73" s="12"/>
      <c r="I73" s="11"/>
      <c r="J73" s="11"/>
      <c r="K73" s="11"/>
      <c r="L73" s="11"/>
      <c r="M73" s="11">
        <f>SUM(G73:J73)</f>
        <v>0</v>
      </c>
      <c r="N73" s="11"/>
      <c r="O73" s="11"/>
    </row>
    <row r="74" spans="1:16" ht="12.95" hidden="1" customHeight="1" x14ac:dyDescent="0.2">
      <c r="A74" s="10">
        <v>123</v>
      </c>
      <c r="B74" s="1"/>
      <c r="C74" s="1"/>
      <c r="D74" s="11"/>
      <c r="E74" s="1"/>
      <c r="F74" s="11"/>
      <c r="G74" s="12"/>
      <c r="H74" s="12"/>
      <c r="I74" s="11"/>
      <c r="J74" s="11"/>
      <c r="K74" s="11"/>
      <c r="L74" s="11"/>
      <c r="M74" s="11">
        <f>SUM(G74:J74)</f>
        <v>0</v>
      </c>
      <c r="N74" s="11"/>
      <c r="O74" s="11"/>
    </row>
    <row r="75" spans="1:16" ht="12.95" customHeight="1" x14ac:dyDescent="0.2">
      <c r="A75" s="14"/>
      <c r="B75" s="15" t="s">
        <v>22</v>
      </c>
      <c r="C75" s="16">
        <f>SUM(C6:C74)</f>
        <v>124440</v>
      </c>
      <c r="D75" s="17">
        <f>F75/C75</f>
        <v>4512.3031179684986</v>
      </c>
      <c r="E75" s="18"/>
      <c r="F75" s="16">
        <f t="shared" ref="F75:N75" si="3">SUM(F6:F74)</f>
        <v>561511000</v>
      </c>
      <c r="G75" s="16">
        <f t="shared" si="3"/>
        <v>0</v>
      </c>
      <c r="H75" s="16">
        <f t="shared" si="3"/>
        <v>0</v>
      </c>
      <c r="I75" s="16">
        <f t="shared" si="3"/>
        <v>8300000</v>
      </c>
      <c r="J75" s="16">
        <f t="shared" si="3"/>
        <v>81876007</v>
      </c>
      <c r="K75" s="16">
        <f t="shared" si="3"/>
        <v>244897020</v>
      </c>
      <c r="L75" s="16"/>
      <c r="M75" s="16">
        <f t="shared" si="3"/>
        <v>335073027</v>
      </c>
      <c r="N75" s="16">
        <f t="shared" si="3"/>
        <v>226437973</v>
      </c>
      <c r="O75" s="16">
        <f>SUM(O6:O74)</f>
        <v>319117168.57142854</v>
      </c>
    </row>
  </sheetData>
  <printOptions gridLines="1"/>
  <pageMargins left="0.70866141732283472" right="0.70866141732283472" top="0.74803149606299213" bottom="0.55118110236220474" header="0.31496062992125984" footer="0.31496062992125984"/>
  <pageSetup paperSize="9" scale="80" orientation="landscape" r:id="rId1"/>
  <headerFooter>
    <oddHeader>&amp;C&amp;F
&amp;A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2BD3C-FB8B-424C-9BAE-261C17047302}">
  <dimension ref="A1:AA69"/>
  <sheetViews>
    <sheetView tabSelected="1" zoomScaleNormal="100" workbookViewId="0">
      <pane ySplit="5" topLeftCell="A6" activePane="bottomLeft" state="frozen"/>
      <selection pane="bottomLeft" activeCell="G56" sqref="G56"/>
    </sheetView>
  </sheetViews>
  <sheetFormatPr defaultColWidth="11.7109375" defaultRowHeight="12.75" x14ac:dyDescent="0.2"/>
  <cols>
    <col min="1" max="1" width="3.42578125" style="54" customWidth="1"/>
    <col min="2" max="2" width="4.7109375" style="54" customWidth="1"/>
    <col min="3" max="3" width="8.28515625" style="54" customWidth="1"/>
    <col min="4" max="4" width="5.85546875" style="67" customWidth="1"/>
    <col min="5" max="5" width="22" style="67" customWidth="1"/>
    <col min="6" max="6" width="7.140625" style="140" customWidth="1"/>
    <col min="7" max="7" width="11.42578125" style="54" customWidth="1"/>
    <col min="8" max="8" width="11.7109375" style="67"/>
    <col min="9" max="9" width="12.5703125" style="67" customWidth="1"/>
    <col min="10" max="10" width="12.140625" style="67" customWidth="1"/>
    <col min="11" max="11" width="11.42578125" style="67" customWidth="1"/>
    <col min="12" max="12" width="11" style="67" customWidth="1"/>
    <col min="13" max="13" width="7.7109375" style="67" customWidth="1"/>
    <col min="14" max="14" width="10" style="54" customWidth="1"/>
    <col min="15" max="15" width="10.85546875" style="54" hidden="1" customWidth="1"/>
    <col min="16" max="16" width="8.7109375" style="54" hidden="1" customWidth="1"/>
    <col min="17" max="17" width="10" style="54" hidden="1" customWidth="1"/>
    <col min="18" max="18" width="10.42578125" style="54" hidden="1" customWidth="1"/>
    <col min="19" max="22" width="10" style="54" hidden="1" customWidth="1"/>
    <col min="23" max="23" width="10.85546875" style="54" hidden="1" customWidth="1"/>
    <col min="24" max="24" width="2.85546875" style="54" hidden="1" customWidth="1"/>
    <col min="25" max="25" width="10" style="54" hidden="1" customWidth="1"/>
    <col min="26" max="26" width="11.42578125" style="54" hidden="1" customWidth="1"/>
    <col min="27" max="16384" width="11.7109375" style="54"/>
  </cols>
  <sheetData>
    <row r="1" spans="1:26" x14ac:dyDescent="0.2">
      <c r="A1" s="64" t="s">
        <v>0</v>
      </c>
      <c r="B1" s="64"/>
      <c r="D1" s="65"/>
      <c r="E1" s="66" t="s">
        <v>45</v>
      </c>
      <c r="F1" s="70"/>
      <c r="G1" s="64"/>
      <c r="H1" s="64"/>
      <c r="J1" s="66"/>
      <c r="K1" s="66"/>
      <c r="L1" s="66"/>
      <c r="M1" s="66"/>
      <c r="N1" s="64"/>
      <c r="O1" s="64"/>
      <c r="P1" s="64"/>
      <c r="Q1" s="64"/>
      <c r="R1" s="64"/>
    </row>
    <row r="2" spans="1:26" x14ac:dyDescent="0.2">
      <c r="A2" s="64" t="s">
        <v>4</v>
      </c>
      <c r="B2" s="64"/>
      <c r="D2" s="65"/>
      <c r="E2" s="66" t="s">
        <v>47</v>
      </c>
      <c r="F2" s="70"/>
      <c r="G2" s="64"/>
      <c r="H2" s="64"/>
      <c r="I2" s="67" t="s">
        <v>241</v>
      </c>
      <c r="J2" s="68"/>
      <c r="K2" s="68"/>
      <c r="L2" s="68"/>
      <c r="M2" s="68"/>
      <c r="N2" s="64"/>
      <c r="O2" s="64"/>
      <c r="P2" s="64"/>
      <c r="Q2" s="64">
        <f>9*4</f>
        <v>36</v>
      </c>
      <c r="R2" s="64"/>
    </row>
    <row r="3" spans="1:26" x14ac:dyDescent="0.2">
      <c r="A3" s="64" t="s">
        <v>7</v>
      </c>
      <c r="B3" s="64"/>
      <c r="D3" s="65"/>
      <c r="E3" s="66"/>
      <c r="F3" s="70"/>
      <c r="G3" s="64"/>
      <c r="H3" s="64"/>
      <c r="J3" s="69"/>
      <c r="K3" s="69"/>
      <c r="L3" s="69"/>
      <c r="M3" s="69"/>
      <c r="N3" s="64"/>
      <c r="O3" s="64"/>
      <c r="P3" s="64"/>
      <c r="Q3" s="64"/>
      <c r="R3" s="64"/>
    </row>
    <row r="4" spans="1:26" x14ac:dyDescent="0.2">
      <c r="D4" s="65"/>
      <c r="E4" s="65"/>
      <c r="F4" s="138"/>
      <c r="H4" s="65"/>
      <c r="I4" s="65"/>
      <c r="J4" s="65"/>
      <c r="K4" s="65"/>
      <c r="L4" s="65"/>
      <c r="M4" s="65"/>
      <c r="N4" s="64"/>
      <c r="O4" s="64"/>
      <c r="P4" s="64"/>
      <c r="Q4" s="64"/>
      <c r="R4" s="64"/>
    </row>
    <row r="5" spans="1:26" s="42" customFormat="1" ht="37.5" customHeight="1" x14ac:dyDescent="0.2">
      <c r="A5" s="43" t="s">
        <v>8</v>
      </c>
      <c r="B5" s="43" t="s">
        <v>9</v>
      </c>
      <c r="C5" s="43" t="s">
        <v>10</v>
      </c>
      <c r="D5" s="43" t="s">
        <v>108</v>
      </c>
      <c r="E5" s="43" t="s">
        <v>12</v>
      </c>
      <c r="F5" s="43" t="s">
        <v>240</v>
      </c>
      <c r="G5" s="43" t="s">
        <v>13</v>
      </c>
      <c r="H5" s="43" t="s">
        <v>110</v>
      </c>
      <c r="I5" s="43" t="s">
        <v>115</v>
      </c>
      <c r="J5" s="43" t="s">
        <v>111</v>
      </c>
      <c r="K5" s="43" t="s">
        <v>124</v>
      </c>
      <c r="L5" s="43" t="s">
        <v>129</v>
      </c>
      <c r="M5" s="43" t="s">
        <v>235</v>
      </c>
      <c r="N5" s="43" t="s">
        <v>112</v>
      </c>
      <c r="O5" s="43" t="s">
        <v>113</v>
      </c>
      <c r="P5" s="43" t="s">
        <v>129</v>
      </c>
      <c r="Q5" s="43" t="s">
        <v>123</v>
      </c>
      <c r="R5" s="56" t="s">
        <v>125</v>
      </c>
      <c r="S5" s="43" t="s">
        <v>114</v>
      </c>
      <c r="T5" s="43" t="s">
        <v>126</v>
      </c>
      <c r="U5" s="43" t="s">
        <v>239</v>
      </c>
      <c r="V5" s="42" t="s">
        <v>112</v>
      </c>
      <c r="W5" s="42" t="s">
        <v>118</v>
      </c>
      <c r="Y5" s="42" t="s">
        <v>119</v>
      </c>
      <c r="Z5" s="42" t="s">
        <v>120</v>
      </c>
    </row>
    <row r="6" spans="1:26" ht="12.95" customHeight="1" x14ac:dyDescent="0.2">
      <c r="A6" s="70">
        <v>1</v>
      </c>
      <c r="B6" s="71">
        <v>102</v>
      </c>
      <c r="C6" s="64">
        <v>2040</v>
      </c>
      <c r="D6" s="72" t="s">
        <v>109</v>
      </c>
      <c r="E6" s="71" t="s">
        <v>48</v>
      </c>
      <c r="F6" s="137" t="s">
        <v>142</v>
      </c>
      <c r="G6" s="73">
        <v>8300000</v>
      </c>
      <c r="H6" s="72">
        <f>G6*60/100</f>
        <v>4980000</v>
      </c>
      <c r="I6" s="72">
        <f>1225000+3487000+1096000</f>
        <v>5808000</v>
      </c>
      <c r="J6" s="72">
        <f>H6-I6</f>
        <v>-828000</v>
      </c>
      <c r="K6" s="141">
        <f>1225000+2322840+3255000-3285000+1195000+267160</f>
        <v>4980000</v>
      </c>
      <c r="L6" s="72">
        <f>920400+273760+920400-1286560</f>
        <v>828000</v>
      </c>
      <c r="M6" s="72"/>
      <c r="N6" s="72">
        <f>I6-K6-M6-L6</f>
        <v>0</v>
      </c>
      <c r="O6" s="72">
        <f t="shared" ref="O6:O67" si="0">G6*40/100</f>
        <v>3320000</v>
      </c>
      <c r="P6" s="72">
        <f>920400+273760+920400-1286560</f>
        <v>828000</v>
      </c>
      <c r="Q6" s="72">
        <f>996000+725310+570690+620048+200000+22239</f>
        <v>3134287</v>
      </c>
      <c r="R6" s="72">
        <v>0</v>
      </c>
      <c r="S6" s="72">
        <f>780000+232000+780000+548000+780000+200000</f>
        <v>3320000</v>
      </c>
      <c r="T6" s="72">
        <f>S6*18/100</f>
        <v>597600</v>
      </c>
      <c r="U6" s="72">
        <f>22239+12500+390+9558</f>
        <v>44687</v>
      </c>
      <c r="V6" s="53">
        <f>O6-P6-Q6+T6+U6</f>
        <v>0</v>
      </c>
      <c r="W6" s="53">
        <f t="shared" ref="W6:W30" si="1">I6+Q6</f>
        <v>8942287</v>
      </c>
      <c r="X6" s="53" t="s">
        <v>116</v>
      </c>
      <c r="Y6" s="74">
        <v>5808000</v>
      </c>
      <c r="Z6" s="75">
        <f>W6-Y6</f>
        <v>3134287</v>
      </c>
    </row>
    <row r="7" spans="1:26" ht="12.95" customHeight="1" x14ac:dyDescent="0.2">
      <c r="A7" s="70">
        <v>2</v>
      </c>
      <c r="B7" s="71">
        <v>104</v>
      </c>
      <c r="C7" s="64">
        <v>2040</v>
      </c>
      <c r="D7" s="72" t="s">
        <v>109</v>
      </c>
      <c r="E7" s="71" t="s">
        <v>49</v>
      </c>
      <c r="F7" s="137" t="s">
        <v>142</v>
      </c>
      <c r="G7" s="73">
        <v>8300000</v>
      </c>
      <c r="H7" s="72">
        <f t="shared" ref="H7:H67" si="2">G7*60/100</f>
        <v>4980000</v>
      </c>
      <c r="I7" s="72">
        <f>1225000+3587000+996000+996000+597600</f>
        <v>7401600</v>
      </c>
      <c r="J7" s="72">
        <f t="shared" ref="J7:J67" si="3">H7-I7</f>
        <v>-2421600</v>
      </c>
      <c r="K7" s="141">
        <f>1225000+3255000+2304840-3285000-909840+1195000+1195000</f>
        <v>4980000</v>
      </c>
      <c r="L7" s="72">
        <f>920400+391760+920400+920400-731360</f>
        <v>2421600</v>
      </c>
      <c r="M7" s="72"/>
      <c r="N7" s="72">
        <f t="shared" ref="N7:N37" si="4">I7-K7-M7-L7</f>
        <v>0</v>
      </c>
      <c r="O7" s="72">
        <f t="shared" si="0"/>
        <v>3320000</v>
      </c>
      <c r="P7" s="72">
        <f>920400+391760+920400+920400-731360</f>
        <v>2421600</v>
      </c>
      <c r="Q7" s="72">
        <f>-9558+1200000+127448+50854+18334+172666+9154</f>
        <v>1568898</v>
      </c>
      <c r="R7" s="72">
        <v>0</v>
      </c>
      <c r="S7" s="72">
        <f>780000+332000+780000+780000+448000+200000</f>
        <v>3320000</v>
      </c>
      <c r="T7" s="72">
        <f t="shared" ref="T7:T68" si="5">S7*18/100</f>
        <v>597600</v>
      </c>
      <c r="U7" s="72">
        <f>12500+390+60008</f>
        <v>72898</v>
      </c>
      <c r="V7" s="53">
        <f>O7-P7-Q7+T7+U7</f>
        <v>0</v>
      </c>
      <c r="W7" s="53">
        <f t="shared" si="1"/>
        <v>8970498</v>
      </c>
      <c r="X7" s="53" t="s">
        <v>116</v>
      </c>
      <c r="Y7" s="74">
        <v>7401600</v>
      </c>
      <c r="Z7" s="75">
        <f t="shared" ref="Z7:Z67" si="6">W7-Y7</f>
        <v>1568898</v>
      </c>
    </row>
    <row r="8" spans="1:26" ht="12.95" customHeight="1" x14ac:dyDescent="0.2">
      <c r="A8" s="70">
        <f>A7+1</f>
        <v>3</v>
      </c>
      <c r="B8" s="71">
        <v>106</v>
      </c>
      <c r="C8" s="64">
        <v>2040</v>
      </c>
      <c r="D8" s="72" t="s">
        <v>109</v>
      </c>
      <c r="E8" s="71" t="s">
        <v>50</v>
      </c>
      <c r="F8" s="137" t="s">
        <v>142</v>
      </c>
      <c r="G8" s="73">
        <v>8400000</v>
      </c>
      <c r="H8" s="72">
        <f t="shared" si="2"/>
        <v>5040000</v>
      </c>
      <c r="I8" s="72">
        <f>1225000+3651000+1008000</f>
        <v>5884000</v>
      </c>
      <c r="J8" s="72">
        <f t="shared" si="3"/>
        <v>-844000</v>
      </c>
      <c r="K8" s="141">
        <f>225000+1000000+3958800-1225000-15000+1210000-113800</f>
        <v>5040000</v>
      </c>
      <c r="L8" s="72">
        <f>932200+932200-1020400</f>
        <v>844000</v>
      </c>
      <c r="M8" s="72"/>
      <c r="N8" s="72">
        <f t="shared" si="4"/>
        <v>0</v>
      </c>
      <c r="O8" s="72">
        <f t="shared" si="0"/>
        <v>3360000</v>
      </c>
      <c r="P8" s="72">
        <f>932200+932200-1020400</f>
        <v>844000</v>
      </c>
      <c r="Q8" s="72">
        <f>1008000+614748+1308000+234962+5577</f>
        <v>3171287</v>
      </c>
      <c r="R8" s="72">
        <v>0</v>
      </c>
      <c r="S8" s="72">
        <f>790000+790000+790000+790000+200000</f>
        <v>3360000</v>
      </c>
      <c r="T8" s="72">
        <f t="shared" si="5"/>
        <v>604800</v>
      </c>
      <c r="U8" s="72">
        <f>12500+390+9558+28039</f>
        <v>50487</v>
      </c>
      <c r="V8" s="53">
        <f t="shared" ref="V8:V67" si="7">O8-P8-Q8+T8+U8</f>
        <v>0</v>
      </c>
      <c r="W8" s="53">
        <f t="shared" si="1"/>
        <v>9055287</v>
      </c>
      <c r="X8" s="53" t="s">
        <v>117</v>
      </c>
      <c r="Y8" s="74">
        <v>5884000</v>
      </c>
      <c r="Z8" s="75">
        <f t="shared" si="6"/>
        <v>3171287</v>
      </c>
    </row>
    <row r="9" spans="1:26" ht="12.95" customHeight="1" x14ac:dyDescent="0.2">
      <c r="A9" s="70">
        <f t="shared" ref="A9:A67" si="8">A8+1</f>
        <v>4</v>
      </c>
      <c r="B9" s="71">
        <v>108</v>
      </c>
      <c r="C9" s="64">
        <v>2040</v>
      </c>
      <c r="D9" s="72" t="s">
        <v>109</v>
      </c>
      <c r="E9" s="71" t="s">
        <v>51</v>
      </c>
      <c r="F9" s="137"/>
      <c r="G9" s="73">
        <v>9100000</v>
      </c>
      <c r="H9" s="72">
        <f t="shared" si="2"/>
        <v>5460000</v>
      </c>
      <c r="I9" s="72">
        <f>1225000+1500000+1100000+500000+1135000</f>
        <v>5460000</v>
      </c>
      <c r="J9" s="72">
        <f t="shared" si="3"/>
        <v>0</v>
      </c>
      <c r="K9" s="141">
        <f>1225000+2630000+1605000</f>
        <v>5460000</v>
      </c>
      <c r="L9" s="72">
        <f>1014800+1014800</f>
        <v>2029600</v>
      </c>
      <c r="M9" s="72"/>
      <c r="N9" s="72">
        <f t="shared" si="4"/>
        <v>-2029600</v>
      </c>
      <c r="O9" s="72">
        <f t="shared" si="0"/>
        <v>3640000</v>
      </c>
      <c r="P9" s="72"/>
      <c r="Q9" s="72">
        <f>465000+830000+3000000</f>
        <v>4295000</v>
      </c>
      <c r="R9" s="72">
        <f t="shared" ref="R9:R67" si="9">O9-Q9-P9</f>
        <v>-655000</v>
      </c>
      <c r="S9" s="72">
        <f>860000+860000+860000</f>
        <v>2580000</v>
      </c>
      <c r="T9" s="72">
        <f t="shared" si="5"/>
        <v>464400</v>
      </c>
      <c r="U9" s="72">
        <f>590+9558</f>
        <v>10148</v>
      </c>
      <c r="V9" s="53">
        <f>O9-Q9+T9+U9</f>
        <v>-180452</v>
      </c>
      <c r="W9" s="53">
        <f t="shared" si="1"/>
        <v>9755000</v>
      </c>
      <c r="X9" s="53" t="s">
        <v>116</v>
      </c>
      <c r="Y9" s="74">
        <v>3825000</v>
      </c>
      <c r="Z9" s="75">
        <f t="shared" si="6"/>
        <v>5930000</v>
      </c>
    </row>
    <row r="10" spans="1:26" ht="12.95" customHeight="1" x14ac:dyDescent="0.2">
      <c r="A10" s="70">
        <f t="shared" si="8"/>
        <v>5</v>
      </c>
      <c r="B10" s="71">
        <v>110</v>
      </c>
      <c r="C10" s="64">
        <v>2040</v>
      </c>
      <c r="D10" s="72" t="s">
        <v>109</v>
      </c>
      <c r="E10" s="71" t="s">
        <v>52</v>
      </c>
      <c r="F10" s="137" t="s">
        <v>142</v>
      </c>
      <c r="G10" s="73">
        <v>8200000</v>
      </c>
      <c r="H10" s="72">
        <f t="shared" si="2"/>
        <v>4920000</v>
      </c>
      <c r="I10" s="72">
        <f>1225000+3523000+984000+984000-1005000</f>
        <v>5711000</v>
      </c>
      <c r="J10" s="72">
        <f t="shared" si="3"/>
        <v>-791000</v>
      </c>
      <c r="K10" s="141">
        <f>1225000+3884400-45000+1180000-99400-1225000</f>
        <v>4920000</v>
      </c>
      <c r="L10" s="72">
        <f>908600+908600-1005000</f>
        <v>812200</v>
      </c>
      <c r="M10" s="72">
        <v>0</v>
      </c>
      <c r="N10" s="72">
        <f t="shared" si="4"/>
        <v>-21200</v>
      </c>
      <c r="O10" s="72">
        <f t="shared" si="0"/>
        <v>3280000</v>
      </c>
      <c r="P10" s="72">
        <f>908600+908600</f>
        <v>1817200</v>
      </c>
      <c r="Q10" s="72">
        <f>295000+688800+1000000+1000000+74400</f>
        <v>3058200</v>
      </c>
      <c r="R10" s="72">
        <f t="shared" si="9"/>
        <v>-1595400</v>
      </c>
      <c r="S10" s="72">
        <f>770000+770000+770000</f>
        <v>2310000</v>
      </c>
      <c r="T10" s="72">
        <f t="shared" si="5"/>
        <v>415800</v>
      </c>
      <c r="U10" s="72"/>
      <c r="V10" s="53">
        <f>O10-Q10+T10+U10</f>
        <v>637600</v>
      </c>
      <c r="W10" s="53">
        <f t="shared" si="1"/>
        <v>8769200</v>
      </c>
      <c r="X10" s="53" t="s">
        <v>116</v>
      </c>
      <c r="Y10" s="74">
        <v>5732000</v>
      </c>
      <c r="Z10" s="75">
        <f t="shared" si="6"/>
        <v>3037200</v>
      </c>
    </row>
    <row r="11" spans="1:26" ht="12.95" customHeight="1" x14ac:dyDescent="0.2">
      <c r="A11" s="70">
        <f t="shared" si="8"/>
        <v>6</v>
      </c>
      <c r="B11" s="71">
        <v>112</v>
      </c>
      <c r="C11" s="64">
        <v>2040</v>
      </c>
      <c r="D11" s="72" t="s">
        <v>109</v>
      </c>
      <c r="E11" s="71" t="s">
        <v>53</v>
      </c>
      <c r="F11" s="137" t="s">
        <v>142</v>
      </c>
      <c r="G11" s="73">
        <v>8300000</v>
      </c>
      <c r="H11" s="72">
        <f t="shared" si="2"/>
        <v>4980000</v>
      </c>
      <c r="I11" s="72">
        <f>2965000+2900000</f>
        <v>5865000</v>
      </c>
      <c r="J11" s="72">
        <f t="shared" si="3"/>
        <v>-885000</v>
      </c>
      <c r="K11" s="141">
        <f>225000+1000000+960000+849600-990000+1195000+1740400</f>
        <v>4980000</v>
      </c>
      <c r="L11" s="72">
        <f>920400+920400-955800</f>
        <v>885000</v>
      </c>
      <c r="M11" s="72"/>
      <c r="N11" s="72">
        <f t="shared" si="4"/>
        <v>0</v>
      </c>
      <c r="O11" s="72">
        <f t="shared" si="0"/>
        <v>3320000</v>
      </c>
      <c r="P11" s="72">
        <f>920400+920400-955800</f>
        <v>885000</v>
      </c>
      <c r="Q11" s="72">
        <f>600000+450000+450000+175000+260000+400000+370000+100000+97995+100000+100829+595</f>
        <v>3104419</v>
      </c>
      <c r="R11" s="72">
        <f t="shared" si="9"/>
        <v>-669419</v>
      </c>
      <c r="S11" s="72">
        <f>2340000+780000+200000+41340</f>
        <v>3361340</v>
      </c>
      <c r="T11" s="72">
        <f t="shared" si="5"/>
        <v>605041.19999999995</v>
      </c>
      <c r="U11" s="72">
        <f>9558+590+12500+390</f>
        <v>23038</v>
      </c>
      <c r="V11" s="53">
        <f t="shared" si="7"/>
        <v>-41339.800000000047</v>
      </c>
      <c r="W11" s="53">
        <f t="shared" si="1"/>
        <v>8969419</v>
      </c>
      <c r="X11" s="53" t="s">
        <v>116</v>
      </c>
      <c r="Y11" s="74">
        <v>5865000</v>
      </c>
      <c r="Z11" s="75">
        <f t="shared" si="6"/>
        <v>3104419</v>
      </c>
    </row>
    <row r="12" spans="1:26" ht="12.95" customHeight="1" x14ac:dyDescent="0.2">
      <c r="A12" s="70">
        <f t="shared" si="8"/>
        <v>7</v>
      </c>
      <c r="B12" s="71">
        <v>114</v>
      </c>
      <c r="C12" s="64">
        <v>2040</v>
      </c>
      <c r="D12" s="72" t="s">
        <v>109</v>
      </c>
      <c r="E12" s="71" t="s">
        <v>54</v>
      </c>
      <c r="F12" s="137" t="s">
        <v>142</v>
      </c>
      <c r="G12" s="73">
        <v>8500000</v>
      </c>
      <c r="H12" s="72">
        <f t="shared" si="2"/>
        <v>5100000</v>
      </c>
      <c r="I12" s="72">
        <f>1225000+6056249-525000+900000+573500</f>
        <v>8229749</v>
      </c>
      <c r="J12" s="72">
        <f>H12-I12</f>
        <v>-3129749</v>
      </c>
      <c r="K12" s="141">
        <f>225000+700000+300000+1225000+1225000+1425000</f>
        <v>5100000</v>
      </c>
      <c r="L12" s="72">
        <f>2832000+147749</f>
        <v>2979749</v>
      </c>
      <c r="M12" s="72">
        <v>150000</v>
      </c>
      <c r="N12" s="72">
        <f t="shared" si="4"/>
        <v>0</v>
      </c>
      <c r="O12" s="72">
        <f t="shared" si="0"/>
        <v>3400000</v>
      </c>
      <c r="P12" s="72">
        <f>2832000-147749</f>
        <v>2684251</v>
      </c>
      <c r="Q12" s="72">
        <f>367217+150000+563686</f>
        <v>1080903</v>
      </c>
      <c r="R12" s="72">
        <f t="shared" si="9"/>
        <v>-365154</v>
      </c>
      <c r="S12" s="72">
        <f>800000+800000+800000+800000</f>
        <v>3200000</v>
      </c>
      <c r="T12" s="72">
        <f t="shared" si="5"/>
        <v>576000</v>
      </c>
      <c r="U12" s="72">
        <v>9558</v>
      </c>
      <c r="V12" s="53">
        <f t="shared" si="7"/>
        <v>220404</v>
      </c>
      <c r="W12" s="53">
        <f t="shared" si="1"/>
        <v>9310652</v>
      </c>
      <c r="X12" s="53" t="s">
        <v>116</v>
      </c>
      <c r="Y12" s="74">
        <v>7281249</v>
      </c>
      <c r="Z12" s="75">
        <f t="shared" si="6"/>
        <v>2029403</v>
      </c>
    </row>
    <row r="13" spans="1:26" ht="12.95" customHeight="1" x14ac:dyDescent="0.2">
      <c r="A13" s="70">
        <f t="shared" si="8"/>
        <v>8</v>
      </c>
      <c r="B13" s="71">
        <v>116</v>
      </c>
      <c r="C13" s="64">
        <v>2040</v>
      </c>
      <c r="D13" s="72" t="s">
        <v>109</v>
      </c>
      <c r="E13" s="71" t="s">
        <v>55</v>
      </c>
      <c r="F13" s="137" t="s">
        <v>142</v>
      </c>
      <c r="G13" s="73">
        <v>8300000</v>
      </c>
      <c r="H13" s="72">
        <f t="shared" si="2"/>
        <v>4980000</v>
      </c>
      <c r="I13" s="72">
        <f>1225000+3587000+2589600</f>
        <v>7401600</v>
      </c>
      <c r="J13" s="72">
        <f t="shared" si="3"/>
        <v>-2421600</v>
      </c>
      <c r="K13" s="141">
        <v>4980000</v>
      </c>
      <c r="L13" s="72">
        <f>920400+391760+920400+920400+985300-1716660</f>
        <v>2421600</v>
      </c>
      <c r="M13" s="72"/>
      <c r="N13" s="72">
        <f t="shared" si="4"/>
        <v>0</v>
      </c>
      <c r="O13" s="72">
        <f t="shared" si="0"/>
        <v>3320000</v>
      </c>
      <c r="P13" s="72">
        <v>3152960</v>
      </c>
      <c r="Q13" s="72"/>
      <c r="R13" s="72">
        <f t="shared" si="9"/>
        <v>167040</v>
      </c>
      <c r="S13" s="72">
        <f>780000+332000+780000+780000</f>
        <v>2672000</v>
      </c>
      <c r="T13" s="72">
        <f t="shared" si="5"/>
        <v>480960</v>
      </c>
      <c r="U13" s="72"/>
      <c r="V13" s="53">
        <f t="shared" si="7"/>
        <v>648000</v>
      </c>
      <c r="W13" s="53">
        <f t="shared" si="1"/>
        <v>7401600</v>
      </c>
      <c r="X13" s="53" t="s">
        <v>116</v>
      </c>
      <c r="Y13" s="74">
        <v>7401600</v>
      </c>
      <c r="Z13" s="75">
        <f t="shared" si="6"/>
        <v>0</v>
      </c>
    </row>
    <row r="14" spans="1:26" ht="12.95" customHeight="1" x14ac:dyDescent="0.2">
      <c r="A14" s="70">
        <f t="shared" si="8"/>
        <v>9</v>
      </c>
      <c r="B14" s="71">
        <v>118</v>
      </c>
      <c r="C14" s="64">
        <v>2040</v>
      </c>
      <c r="D14" s="72" t="s">
        <v>109</v>
      </c>
      <c r="E14" s="71" t="s">
        <v>56</v>
      </c>
      <c r="F14" s="137"/>
      <c r="G14" s="73">
        <v>8300000</v>
      </c>
      <c r="H14" s="72">
        <f t="shared" si="2"/>
        <v>4980000</v>
      </c>
      <c r="I14" s="72">
        <f>225000+200000+300000+500000+3587000+996000</f>
        <v>5808000</v>
      </c>
      <c r="J14" s="72">
        <f t="shared" si="3"/>
        <v>-828000</v>
      </c>
      <c r="K14" s="141">
        <f>225000+1000000+2696600-30000+1195000-106600</f>
        <v>4980000</v>
      </c>
      <c r="L14" s="72">
        <v>1840800</v>
      </c>
      <c r="M14" s="72">
        <f>2360+9558+2360</f>
        <v>14278</v>
      </c>
      <c r="N14" s="72">
        <f t="shared" si="4"/>
        <v>-1027078</v>
      </c>
      <c r="O14" s="72">
        <f t="shared" si="0"/>
        <v>3320000</v>
      </c>
      <c r="P14" s="72">
        <v>1840800</v>
      </c>
      <c r="Q14" s="72">
        <f>996000+1363104+300000</f>
        <v>2659104</v>
      </c>
      <c r="R14" s="72">
        <f t="shared" si="9"/>
        <v>-1179904</v>
      </c>
      <c r="S14" s="72">
        <f>780000+780000+780000</f>
        <v>2340000</v>
      </c>
      <c r="T14" s="72">
        <f t="shared" si="5"/>
        <v>421200</v>
      </c>
      <c r="U14" s="72"/>
      <c r="V14" s="53">
        <f t="shared" si="7"/>
        <v>-758704</v>
      </c>
      <c r="W14" s="53">
        <f t="shared" si="1"/>
        <v>8467104</v>
      </c>
      <c r="X14" s="53" t="s">
        <v>116</v>
      </c>
      <c r="Y14" s="74">
        <v>5808000</v>
      </c>
      <c r="Z14" s="75">
        <f t="shared" si="6"/>
        <v>2659104</v>
      </c>
    </row>
    <row r="15" spans="1:26" ht="12.95" customHeight="1" x14ac:dyDescent="0.2">
      <c r="A15" s="70">
        <f t="shared" si="8"/>
        <v>10</v>
      </c>
      <c r="B15" s="71">
        <v>120</v>
      </c>
      <c r="C15" s="64">
        <v>2040</v>
      </c>
      <c r="D15" s="72" t="s">
        <v>109</v>
      </c>
      <c r="E15" s="71" t="s">
        <v>57</v>
      </c>
      <c r="F15" s="137"/>
      <c r="G15" s="73">
        <v>8300000</v>
      </c>
      <c r="H15" s="72">
        <f t="shared" si="2"/>
        <v>4980000</v>
      </c>
      <c r="I15" s="72">
        <f>275000+1000000+3587000</f>
        <v>4862000</v>
      </c>
      <c r="J15" s="72">
        <f t="shared" si="3"/>
        <v>118000</v>
      </c>
      <c r="K15" s="141">
        <f>1000000+225000+1275000-1225000+1195000+2510000</f>
        <v>4980000</v>
      </c>
      <c r="L15" s="72">
        <f>920400-1038400</f>
        <v>-118000</v>
      </c>
      <c r="M15" s="72"/>
      <c r="N15" s="72">
        <f t="shared" si="4"/>
        <v>0</v>
      </c>
      <c r="O15" s="72">
        <f t="shared" si="0"/>
        <v>3320000</v>
      </c>
      <c r="P15" s="72">
        <f>920400</f>
        <v>920400</v>
      </c>
      <c r="Q15" s="72">
        <f>996000+996000</f>
        <v>1992000</v>
      </c>
      <c r="R15" s="72">
        <f t="shared" si="9"/>
        <v>407600</v>
      </c>
      <c r="S15" s="72">
        <f>780000+1560000</f>
        <v>2340000</v>
      </c>
      <c r="T15" s="72">
        <f t="shared" si="5"/>
        <v>421200</v>
      </c>
      <c r="U15" s="72"/>
      <c r="V15" s="53">
        <f t="shared" si="7"/>
        <v>828800</v>
      </c>
      <c r="W15" s="53">
        <f t="shared" si="1"/>
        <v>6854000</v>
      </c>
      <c r="X15" s="53" t="s">
        <v>116</v>
      </c>
      <c r="Y15" s="74">
        <v>4862000</v>
      </c>
      <c r="Z15" s="75">
        <f t="shared" si="6"/>
        <v>1992000</v>
      </c>
    </row>
    <row r="16" spans="1:26" ht="12.95" customHeight="1" x14ac:dyDescent="0.2">
      <c r="A16" s="70">
        <f t="shared" si="8"/>
        <v>11</v>
      </c>
      <c r="B16" s="71">
        <v>122</v>
      </c>
      <c r="C16" s="64">
        <v>2040</v>
      </c>
      <c r="D16" s="72" t="s">
        <v>109</v>
      </c>
      <c r="E16" s="71" t="s">
        <v>58</v>
      </c>
      <c r="F16" s="137"/>
      <c r="G16" s="73">
        <v>8200000</v>
      </c>
      <c r="H16" s="72">
        <f t="shared" si="2"/>
        <v>4920000</v>
      </c>
      <c r="I16" s="72">
        <f>1225000+3523000+984000</f>
        <v>5732000</v>
      </c>
      <c r="J16" s="72">
        <f t="shared" si="3"/>
        <v>-812000</v>
      </c>
      <c r="K16" s="141">
        <f>1225000+2659400-45000+1180000+1135000-1234400</f>
        <v>4920000</v>
      </c>
      <c r="L16" s="72">
        <f>908600+908600-1005200</f>
        <v>812000</v>
      </c>
      <c r="M16" s="72"/>
      <c r="N16" s="72">
        <f t="shared" si="4"/>
        <v>0</v>
      </c>
      <c r="O16" s="72">
        <f t="shared" si="0"/>
        <v>3280000</v>
      </c>
      <c r="P16" s="72">
        <f>908600+908600</f>
        <v>1817200</v>
      </c>
      <c r="Q16" s="72">
        <f>984000+1484000</f>
        <v>2468000</v>
      </c>
      <c r="R16" s="72">
        <f t="shared" si="9"/>
        <v>-1005200</v>
      </c>
      <c r="S16" s="72">
        <f>770000+770000+770000</f>
        <v>2310000</v>
      </c>
      <c r="T16" s="72">
        <f t="shared" si="5"/>
        <v>415800</v>
      </c>
      <c r="U16" s="72"/>
      <c r="V16" s="53">
        <f t="shared" si="7"/>
        <v>-589400</v>
      </c>
      <c r="W16" s="53">
        <f t="shared" si="1"/>
        <v>8200000</v>
      </c>
      <c r="X16" s="53" t="s">
        <v>116</v>
      </c>
      <c r="Y16" s="74">
        <v>5732000</v>
      </c>
      <c r="Z16" s="75">
        <f t="shared" si="6"/>
        <v>2468000</v>
      </c>
    </row>
    <row r="17" spans="1:26" ht="12.95" customHeight="1" x14ac:dyDescent="0.2">
      <c r="A17" s="70">
        <f t="shared" si="8"/>
        <v>12</v>
      </c>
      <c r="B17" s="71">
        <v>124</v>
      </c>
      <c r="C17" s="64">
        <v>2040</v>
      </c>
      <c r="D17" s="72" t="s">
        <v>109</v>
      </c>
      <c r="E17" s="71" t="s">
        <v>59</v>
      </c>
      <c r="F17" s="137"/>
      <c r="G17" s="73">
        <v>8500000</v>
      </c>
      <c r="H17" s="72">
        <f t="shared" si="2"/>
        <v>5100000</v>
      </c>
      <c r="I17" s="72">
        <f>25000+500000+200000+1000000+3215000+275000+1020000</f>
        <v>6235000</v>
      </c>
      <c r="J17" s="72">
        <f t="shared" si="3"/>
        <v>-1135000</v>
      </c>
      <c r="K17" s="141">
        <f>225000+1000000+500000+1987000-500000+1225000+663000</f>
        <v>5100000</v>
      </c>
      <c r="L17" s="72">
        <f>944000+944000+944000+423023-2120023</f>
        <v>1135000</v>
      </c>
      <c r="M17" s="72"/>
      <c r="N17" s="72">
        <f t="shared" si="4"/>
        <v>0</v>
      </c>
      <c r="O17" s="72">
        <f t="shared" si="0"/>
        <v>3400000</v>
      </c>
      <c r="P17" s="72">
        <f>944000+944000+944000</f>
        <v>2832000</v>
      </c>
      <c r="Q17" s="72">
        <f>1020000+400000+1320000</f>
        <v>2740000</v>
      </c>
      <c r="R17" s="72">
        <f t="shared" si="9"/>
        <v>-2172000</v>
      </c>
      <c r="S17" s="72">
        <f>1600000+800000</f>
        <v>2400000</v>
      </c>
      <c r="T17" s="72">
        <f t="shared" si="5"/>
        <v>432000</v>
      </c>
      <c r="U17" s="72">
        <v>9558</v>
      </c>
      <c r="V17" s="53">
        <f t="shared" si="7"/>
        <v>-1730442</v>
      </c>
      <c r="W17" s="53">
        <f t="shared" si="1"/>
        <v>8975000</v>
      </c>
      <c r="X17" s="53" t="s">
        <v>116</v>
      </c>
      <c r="Y17" s="74">
        <v>6235000</v>
      </c>
      <c r="Z17" s="75">
        <f t="shared" si="6"/>
        <v>2740000</v>
      </c>
    </row>
    <row r="18" spans="1:26" ht="12.95" customHeight="1" x14ac:dyDescent="0.2">
      <c r="A18" s="70">
        <f t="shared" si="8"/>
        <v>13</v>
      </c>
      <c r="B18" s="71">
        <v>126</v>
      </c>
      <c r="C18" s="64">
        <v>2040</v>
      </c>
      <c r="D18" s="72" t="s">
        <v>109</v>
      </c>
      <c r="E18" s="71" t="s">
        <v>60</v>
      </c>
      <c r="F18" s="137"/>
      <c r="G18" s="73">
        <v>8200000</v>
      </c>
      <c r="H18" s="72">
        <f t="shared" si="2"/>
        <v>4920000</v>
      </c>
      <c r="I18" s="72">
        <f>225000+5630000+600000+300000</f>
        <v>6755000</v>
      </c>
      <c r="J18" s="72">
        <f t="shared" si="3"/>
        <v>-1835000</v>
      </c>
      <c r="K18" s="142">
        <f>225000+1000000+3195000+742800+1180000+637200-2060000</f>
        <v>4920000</v>
      </c>
      <c r="L18" s="72">
        <f>908600+908600+17800</f>
        <v>1835000</v>
      </c>
      <c r="M18" s="72"/>
      <c r="N18" s="72">
        <f t="shared" si="4"/>
        <v>0</v>
      </c>
      <c r="O18" s="72">
        <f t="shared" si="0"/>
        <v>3280000</v>
      </c>
      <c r="P18" s="72">
        <f>908600</f>
        <v>908600</v>
      </c>
      <c r="Q18" s="72">
        <f>1400000+650000</f>
        <v>2050000</v>
      </c>
      <c r="R18" s="72">
        <f t="shared" si="9"/>
        <v>321400</v>
      </c>
      <c r="S18" s="72">
        <f>770000+770000</f>
        <v>1540000</v>
      </c>
      <c r="T18" s="72">
        <f t="shared" si="5"/>
        <v>277200</v>
      </c>
      <c r="U18" s="72"/>
      <c r="V18" s="53">
        <f t="shared" si="7"/>
        <v>598600</v>
      </c>
      <c r="W18" s="53">
        <f t="shared" si="1"/>
        <v>8805000</v>
      </c>
      <c r="X18" s="53" t="s">
        <v>116</v>
      </c>
      <c r="Y18" s="74">
        <v>6755000</v>
      </c>
      <c r="Z18" s="75">
        <f t="shared" si="6"/>
        <v>2050000</v>
      </c>
    </row>
    <row r="19" spans="1:26" ht="12.95" customHeight="1" x14ac:dyDescent="0.2">
      <c r="A19" s="70">
        <f t="shared" si="8"/>
        <v>14</v>
      </c>
      <c r="B19" s="71">
        <v>128</v>
      </c>
      <c r="C19" s="64">
        <v>2040</v>
      </c>
      <c r="D19" s="72" t="s">
        <v>109</v>
      </c>
      <c r="E19" s="71" t="s">
        <v>61</v>
      </c>
      <c r="F19" s="137" t="s">
        <v>142</v>
      </c>
      <c r="G19" s="73">
        <v>9810000</v>
      </c>
      <c r="H19" s="72">
        <f t="shared" si="2"/>
        <v>5886000</v>
      </c>
      <c r="I19" s="72">
        <f>200000+1000000+4686000+3924000</f>
        <v>9810000</v>
      </c>
      <c r="J19" s="72">
        <f t="shared" si="3"/>
        <v>-3924000</v>
      </c>
      <c r="K19" s="141">
        <f>1421500+1421500+1421500+1621500</f>
        <v>5886000</v>
      </c>
      <c r="L19" s="72">
        <f>1098580+1098580+1098580+628260</f>
        <v>3924000</v>
      </c>
      <c r="M19" s="72"/>
      <c r="N19" s="72">
        <f t="shared" si="4"/>
        <v>0</v>
      </c>
      <c r="O19" s="72">
        <f t="shared" si="0"/>
        <v>3924000</v>
      </c>
      <c r="P19" s="72">
        <f>1098580+1098580+1098580+22953+25000</f>
        <v>3343693</v>
      </c>
      <c r="Q19" s="72">
        <f>706320+628260</f>
        <v>1334580</v>
      </c>
      <c r="R19" s="72">
        <f t="shared" si="9"/>
        <v>-754273</v>
      </c>
      <c r="S19" s="72">
        <f>3724000+200000+21614</f>
        <v>3945614</v>
      </c>
      <c r="T19" s="72">
        <f t="shared" si="5"/>
        <v>710210.52</v>
      </c>
      <c r="U19" s="72">
        <f>12500+390+9558</f>
        <v>22448</v>
      </c>
      <c r="V19" s="53">
        <f t="shared" si="7"/>
        <v>-21614.479999999981</v>
      </c>
      <c r="W19" s="53">
        <f t="shared" si="1"/>
        <v>11144580</v>
      </c>
      <c r="X19" s="53" t="s">
        <v>116</v>
      </c>
      <c r="Y19" s="74">
        <v>9810000</v>
      </c>
      <c r="Z19" s="75">
        <f t="shared" si="6"/>
        <v>1334580</v>
      </c>
    </row>
    <row r="20" spans="1:26" ht="12.95" customHeight="1" x14ac:dyDescent="0.2">
      <c r="A20" s="70">
        <f t="shared" si="8"/>
        <v>15</v>
      </c>
      <c r="B20" s="71">
        <v>129</v>
      </c>
      <c r="C20" s="64">
        <v>2040</v>
      </c>
      <c r="D20" s="72" t="s">
        <v>109</v>
      </c>
      <c r="E20" s="71" t="s">
        <v>62</v>
      </c>
      <c r="F20" s="137"/>
      <c r="G20" s="73">
        <v>10120000</v>
      </c>
      <c r="H20" s="72">
        <f t="shared" si="2"/>
        <v>6072000</v>
      </c>
      <c r="I20" s="72">
        <f>10125000</f>
        <v>10125000</v>
      </c>
      <c r="J20" s="72">
        <f t="shared" si="3"/>
        <v>-4053000</v>
      </c>
      <c r="K20" s="141">
        <f>1468000+1468000+1468000+1668000</f>
        <v>6072000</v>
      </c>
      <c r="L20" s="72">
        <f>1135160+1135160+1135160+647520</f>
        <v>4053000</v>
      </c>
      <c r="M20" s="72"/>
      <c r="N20" s="72">
        <f t="shared" si="4"/>
        <v>0</v>
      </c>
      <c r="O20" s="72">
        <f t="shared" si="0"/>
        <v>4048000</v>
      </c>
      <c r="P20" s="72">
        <f>1135160+1135160+1135160+647520</f>
        <v>4053000</v>
      </c>
      <c r="Q20" s="72">
        <f>746088+60857</f>
        <v>806945</v>
      </c>
      <c r="R20" s="72">
        <f t="shared" si="9"/>
        <v>-811945</v>
      </c>
      <c r="S20" s="72">
        <f>3848000+200000+51574</f>
        <v>4099574</v>
      </c>
      <c r="T20" s="72">
        <f t="shared" si="5"/>
        <v>737923.32</v>
      </c>
      <c r="U20" s="72">
        <f>12500+390+9558</f>
        <v>22448</v>
      </c>
      <c r="V20" s="53">
        <f t="shared" si="7"/>
        <v>-51573.680000000051</v>
      </c>
      <c r="W20" s="53">
        <f t="shared" si="1"/>
        <v>10931945</v>
      </c>
      <c r="X20" s="53" t="s">
        <v>116</v>
      </c>
      <c r="Y20" s="74">
        <v>10125000</v>
      </c>
      <c r="Z20" s="75">
        <f t="shared" si="6"/>
        <v>806945</v>
      </c>
    </row>
    <row r="21" spans="1:26" ht="12.95" customHeight="1" x14ac:dyDescent="0.2">
      <c r="A21" s="70">
        <f t="shared" si="8"/>
        <v>16</v>
      </c>
      <c r="B21" s="71">
        <v>131</v>
      </c>
      <c r="C21" s="64">
        <v>2040</v>
      </c>
      <c r="D21" s="72" t="s">
        <v>109</v>
      </c>
      <c r="E21" s="71" t="s">
        <v>63</v>
      </c>
      <c r="F21" s="137"/>
      <c r="G21" s="73">
        <v>8300000</v>
      </c>
      <c r="H21" s="72">
        <f t="shared" si="2"/>
        <v>4980000</v>
      </c>
      <c r="I21" s="72">
        <f>225000+300000+4287000+446000+550000+100+497500+100000</f>
        <v>6405600</v>
      </c>
      <c r="J21" s="72">
        <f t="shared" si="3"/>
        <v>-1425600</v>
      </c>
      <c r="K21" s="141">
        <f>225000+1000000+3255000+1326800-2090000-670000+1933200</f>
        <v>4980000</v>
      </c>
      <c r="L21" s="72">
        <f>920400+844800-339600</f>
        <v>1425600</v>
      </c>
      <c r="M21" s="72"/>
      <c r="N21" s="72">
        <f t="shared" si="4"/>
        <v>0</v>
      </c>
      <c r="O21" s="72">
        <f t="shared" si="0"/>
        <v>3320000</v>
      </c>
      <c r="P21" s="72">
        <f>920400+844800</f>
        <v>1765200</v>
      </c>
      <c r="Q21" s="72">
        <f>996000</f>
        <v>996000</v>
      </c>
      <c r="R21" s="72">
        <f t="shared" si="9"/>
        <v>558800</v>
      </c>
      <c r="S21" s="72">
        <v>2340000</v>
      </c>
      <c r="T21" s="72">
        <f t="shared" si="5"/>
        <v>421200</v>
      </c>
      <c r="U21" s="72"/>
      <c r="V21" s="53">
        <f t="shared" si="7"/>
        <v>980000</v>
      </c>
      <c r="W21" s="53">
        <f t="shared" si="1"/>
        <v>7401600</v>
      </c>
      <c r="X21" s="53" t="s">
        <v>117</v>
      </c>
      <c r="Y21" s="74">
        <v>7401600</v>
      </c>
      <c r="Z21" s="75">
        <f t="shared" si="6"/>
        <v>0</v>
      </c>
    </row>
    <row r="22" spans="1:26" ht="12.95" customHeight="1" x14ac:dyDescent="0.2">
      <c r="A22" s="70">
        <f t="shared" si="8"/>
        <v>17</v>
      </c>
      <c r="B22" s="71">
        <v>133</v>
      </c>
      <c r="C22" s="64">
        <v>2040</v>
      </c>
      <c r="D22" s="72" t="s">
        <v>109</v>
      </c>
      <c r="E22" s="71" t="s">
        <v>64</v>
      </c>
      <c r="F22" s="137"/>
      <c r="G22" s="73">
        <v>8300000</v>
      </c>
      <c r="H22" s="72">
        <f t="shared" si="2"/>
        <v>4980000</v>
      </c>
      <c r="I22" s="72">
        <f>1225000+3575000+500000+508000</f>
        <v>5808000</v>
      </c>
      <c r="J22" s="72">
        <f t="shared" si="3"/>
        <v>-828000</v>
      </c>
      <c r="K22" s="141">
        <f>1225000+2684600-30000+1225000+1195000-1319600</f>
        <v>4980000</v>
      </c>
      <c r="L22" s="72">
        <f>920400+920400-1015160</f>
        <v>825640</v>
      </c>
      <c r="M22" s="72">
        <v>2360</v>
      </c>
      <c r="N22" s="72">
        <f t="shared" si="4"/>
        <v>0</v>
      </c>
      <c r="O22" s="72">
        <f t="shared" si="0"/>
        <v>3320000</v>
      </c>
      <c r="P22" s="72">
        <f>920400+920400</f>
        <v>1840800</v>
      </c>
      <c r="Q22" s="72">
        <f>996000+2000000</f>
        <v>2996000</v>
      </c>
      <c r="R22" s="72">
        <f t="shared" si="9"/>
        <v>-1516800</v>
      </c>
      <c r="S22" s="72">
        <f>780000+780000</f>
        <v>1560000</v>
      </c>
      <c r="T22" s="72">
        <f t="shared" si="5"/>
        <v>280800</v>
      </c>
      <c r="U22" s="72"/>
      <c r="V22" s="53">
        <f t="shared" si="7"/>
        <v>-1236000</v>
      </c>
      <c r="W22" s="53">
        <f t="shared" si="1"/>
        <v>8804000</v>
      </c>
      <c r="X22" s="53" t="s">
        <v>116</v>
      </c>
      <c r="Y22" s="74">
        <v>5808000</v>
      </c>
      <c r="Z22" s="75">
        <f t="shared" si="6"/>
        <v>2996000</v>
      </c>
    </row>
    <row r="23" spans="1:26" ht="12.95" customHeight="1" x14ac:dyDescent="0.2">
      <c r="A23" s="70">
        <f t="shared" si="8"/>
        <v>18</v>
      </c>
      <c r="B23" s="71">
        <v>135</v>
      </c>
      <c r="C23" s="64">
        <v>2040</v>
      </c>
      <c r="D23" s="72" t="s">
        <v>109</v>
      </c>
      <c r="E23" s="71" t="s">
        <v>65</v>
      </c>
      <c r="F23" s="137"/>
      <c r="G23" s="73">
        <v>9100000</v>
      </c>
      <c r="H23" s="72">
        <f t="shared" si="2"/>
        <v>5460000</v>
      </c>
      <c r="I23" s="72">
        <f>5324000+1092000+500000</f>
        <v>6916000</v>
      </c>
      <c r="J23" s="72">
        <f t="shared" si="3"/>
        <v>-1456000</v>
      </c>
      <c r="K23" s="141">
        <f>1315000+2994200+1315000-164200</f>
        <v>5460000</v>
      </c>
      <c r="L23" s="72">
        <f>1014800+1014800-573600</f>
        <v>1456000</v>
      </c>
      <c r="M23" s="72"/>
      <c r="N23" s="72">
        <f t="shared" si="4"/>
        <v>0</v>
      </c>
      <c r="O23" s="72">
        <f t="shared" si="0"/>
        <v>3640000</v>
      </c>
      <c r="P23" s="72">
        <f>1014800+1014800</f>
        <v>2029600</v>
      </c>
      <c r="Q23" s="72">
        <v>1092000</v>
      </c>
      <c r="R23" s="72">
        <f t="shared" si="9"/>
        <v>518400</v>
      </c>
      <c r="S23" s="72">
        <f>860000+860000</f>
        <v>1720000</v>
      </c>
      <c r="T23" s="72">
        <f t="shared" si="5"/>
        <v>309600</v>
      </c>
      <c r="U23" s="72"/>
      <c r="V23" s="53">
        <f t="shared" si="7"/>
        <v>828000</v>
      </c>
      <c r="W23" s="53">
        <f t="shared" si="1"/>
        <v>8008000</v>
      </c>
      <c r="X23" s="53" t="s">
        <v>116</v>
      </c>
      <c r="Y23" s="74">
        <v>6416000</v>
      </c>
      <c r="Z23" s="75">
        <f t="shared" si="6"/>
        <v>1592000</v>
      </c>
    </row>
    <row r="24" spans="1:26" ht="12.95" customHeight="1" x14ac:dyDescent="0.2">
      <c r="A24" s="70">
        <f t="shared" si="8"/>
        <v>19</v>
      </c>
      <c r="B24" s="71">
        <v>137</v>
      </c>
      <c r="C24" s="64">
        <v>2040</v>
      </c>
      <c r="D24" s="72" t="s">
        <v>109</v>
      </c>
      <c r="E24" s="71" t="s">
        <v>66</v>
      </c>
      <c r="F24" s="137"/>
      <c r="G24" s="73">
        <v>9000000</v>
      </c>
      <c r="H24" s="72">
        <f t="shared" si="2"/>
        <v>5400000</v>
      </c>
      <c r="I24" s="72">
        <f>225000+1000000+4035000+1080000</f>
        <v>6340000</v>
      </c>
      <c r="J24" s="72">
        <f t="shared" si="3"/>
        <v>-940000</v>
      </c>
      <c r="K24" s="141">
        <f>225000+1300000+1300000+1300000</f>
        <v>4125000</v>
      </c>
      <c r="L24" s="72">
        <f>1003000+1003000</f>
        <v>2006000</v>
      </c>
      <c r="M24" s="72"/>
      <c r="N24" s="72">
        <f t="shared" si="4"/>
        <v>209000</v>
      </c>
      <c r="O24" s="72">
        <f t="shared" si="0"/>
        <v>3600000</v>
      </c>
      <c r="P24" s="72">
        <f>1003000+1003000</f>
        <v>2006000</v>
      </c>
      <c r="Q24" s="72">
        <f>1080000</f>
        <v>1080000</v>
      </c>
      <c r="R24" s="72">
        <f t="shared" si="9"/>
        <v>514000</v>
      </c>
      <c r="S24" s="72">
        <v>1700000</v>
      </c>
      <c r="T24" s="72">
        <f t="shared" si="5"/>
        <v>306000</v>
      </c>
      <c r="U24" s="72"/>
      <c r="V24" s="53">
        <f t="shared" si="7"/>
        <v>820000</v>
      </c>
      <c r="W24" s="53">
        <f t="shared" si="1"/>
        <v>7420000</v>
      </c>
      <c r="X24" s="53" t="s">
        <v>116</v>
      </c>
      <c r="Y24" s="74">
        <v>6340000</v>
      </c>
      <c r="Z24" s="75">
        <f t="shared" si="6"/>
        <v>1080000</v>
      </c>
    </row>
    <row r="25" spans="1:26" ht="12.95" customHeight="1" x14ac:dyDescent="0.2">
      <c r="A25" s="70">
        <f t="shared" si="8"/>
        <v>20</v>
      </c>
      <c r="B25" s="71">
        <v>139</v>
      </c>
      <c r="C25" s="64">
        <v>2040</v>
      </c>
      <c r="D25" s="72" t="s">
        <v>109</v>
      </c>
      <c r="E25" s="71" t="s">
        <v>67</v>
      </c>
      <c r="F25" s="137"/>
      <c r="G25" s="73">
        <v>9100000</v>
      </c>
      <c r="H25" s="72">
        <f t="shared" si="2"/>
        <v>5460000</v>
      </c>
      <c r="I25" s="72">
        <f>225000+500000+500000+4099000+1092000</f>
        <v>6416000</v>
      </c>
      <c r="J25" s="72">
        <f t="shared" si="3"/>
        <v>-956000</v>
      </c>
      <c r="K25" s="141">
        <f>1315000+1315000+1315000</f>
        <v>3945000</v>
      </c>
      <c r="L25" s="72">
        <f>1014800</f>
        <v>1014800</v>
      </c>
      <c r="M25" s="72"/>
      <c r="N25" s="72">
        <f t="shared" si="4"/>
        <v>1456200</v>
      </c>
      <c r="O25" s="72">
        <f t="shared" si="0"/>
        <v>3640000</v>
      </c>
      <c r="P25" s="72">
        <f>1014800</f>
        <v>1014800</v>
      </c>
      <c r="Q25" s="72">
        <f>1092000</f>
        <v>1092000</v>
      </c>
      <c r="R25" s="72">
        <f t="shared" si="9"/>
        <v>1533200</v>
      </c>
      <c r="S25" s="72">
        <f>860000+860000</f>
        <v>1720000</v>
      </c>
      <c r="T25" s="72">
        <f t="shared" si="5"/>
        <v>309600</v>
      </c>
      <c r="U25" s="72"/>
      <c r="V25" s="53">
        <f t="shared" si="7"/>
        <v>1842800</v>
      </c>
      <c r="W25" s="53">
        <f t="shared" si="1"/>
        <v>7508000</v>
      </c>
      <c r="X25" s="53" t="s">
        <v>116</v>
      </c>
      <c r="Y25" s="74">
        <v>6416000</v>
      </c>
      <c r="Z25" s="75">
        <f t="shared" si="6"/>
        <v>1092000</v>
      </c>
    </row>
    <row r="26" spans="1:26" ht="12.95" customHeight="1" x14ac:dyDescent="0.2">
      <c r="A26" s="70">
        <f t="shared" si="8"/>
        <v>21</v>
      </c>
      <c r="B26" s="71">
        <v>141</v>
      </c>
      <c r="C26" s="64">
        <v>2040</v>
      </c>
      <c r="D26" s="72" t="s">
        <v>109</v>
      </c>
      <c r="E26" s="71" t="s">
        <v>68</v>
      </c>
      <c r="F26" s="137"/>
      <c r="G26" s="73">
        <v>9150000</v>
      </c>
      <c r="H26" s="72">
        <f t="shared" si="2"/>
        <v>5490000</v>
      </c>
      <c r="I26" s="72">
        <f>1225000+500000+340000+260000+500000+1206000+500000+500000+325000</f>
        <v>5356000</v>
      </c>
      <c r="J26" s="72">
        <f t="shared" si="3"/>
        <v>134000</v>
      </c>
      <c r="K26" s="141">
        <f>1225000+1322500+1322500</f>
        <v>3870000</v>
      </c>
      <c r="L26" s="72">
        <v>1020700</v>
      </c>
      <c r="M26" s="72"/>
      <c r="N26" s="72">
        <f t="shared" si="4"/>
        <v>465300</v>
      </c>
      <c r="O26" s="72">
        <f t="shared" si="0"/>
        <v>3660000</v>
      </c>
      <c r="P26" s="72">
        <v>1020700</v>
      </c>
      <c r="Q26" s="72">
        <f>1098000+1098000</f>
        <v>2196000</v>
      </c>
      <c r="R26" s="72">
        <f t="shared" si="9"/>
        <v>443300</v>
      </c>
      <c r="S26" s="72">
        <v>1730000</v>
      </c>
      <c r="T26" s="72">
        <f t="shared" si="5"/>
        <v>311400</v>
      </c>
      <c r="U26" s="72"/>
      <c r="V26" s="53">
        <f t="shared" si="7"/>
        <v>754700</v>
      </c>
      <c r="W26" s="53">
        <f t="shared" si="1"/>
        <v>7552000</v>
      </c>
      <c r="X26" s="53" t="s">
        <v>116</v>
      </c>
      <c r="Y26" s="74">
        <v>5356000</v>
      </c>
      <c r="Z26" s="75">
        <f t="shared" si="6"/>
        <v>2196000</v>
      </c>
    </row>
    <row r="27" spans="1:26" ht="12.95" customHeight="1" x14ac:dyDescent="0.2">
      <c r="A27" s="70">
        <f t="shared" si="8"/>
        <v>22</v>
      </c>
      <c r="B27" s="71">
        <v>142</v>
      </c>
      <c r="C27" s="64">
        <v>2040</v>
      </c>
      <c r="D27" s="72" t="s">
        <v>109</v>
      </c>
      <c r="E27" s="71" t="s">
        <v>69</v>
      </c>
      <c r="F27" s="137"/>
      <c r="G27" s="73">
        <v>9100000</v>
      </c>
      <c r="H27" s="72">
        <f t="shared" si="2"/>
        <v>5460000</v>
      </c>
      <c r="I27" s="72">
        <f>1200000+4099000+1092000</f>
        <v>6391000</v>
      </c>
      <c r="J27" s="72">
        <f t="shared" si="3"/>
        <v>-931000</v>
      </c>
      <c r="K27" s="141">
        <v>5460000</v>
      </c>
      <c r="L27" s="72">
        <f>1014800+1014800-1098600</f>
        <v>931000</v>
      </c>
      <c r="M27" s="72"/>
      <c r="N27" s="72">
        <f t="shared" si="4"/>
        <v>0</v>
      </c>
      <c r="O27" s="72">
        <f t="shared" si="0"/>
        <v>3640000</v>
      </c>
      <c r="P27" s="72">
        <f>1014800+1014800</f>
        <v>2029600</v>
      </c>
      <c r="Q27" s="72">
        <v>1092000</v>
      </c>
      <c r="R27" s="72">
        <f t="shared" si="9"/>
        <v>518400</v>
      </c>
      <c r="S27" s="72">
        <f>1720000+860000</f>
        <v>2580000</v>
      </c>
      <c r="T27" s="72">
        <f t="shared" si="5"/>
        <v>464400</v>
      </c>
      <c r="U27" s="72"/>
      <c r="V27" s="53">
        <f t="shared" si="7"/>
        <v>982800</v>
      </c>
      <c r="W27" s="53">
        <f t="shared" si="1"/>
        <v>7483000</v>
      </c>
      <c r="X27" s="53" t="s">
        <v>116</v>
      </c>
      <c r="Y27" s="74">
        <v>6416000</v>
      </c>
      <c r="Z27" s="75">
        <f t="shared" si="6"/>
        <v>1067000</v>
      </c>
    </row>
    <row r="28" spans="1:26" ht="12.95" customHeight="1" x14ac:dyDescent="0.2">
      <c r="A28" s="70">
        <f t="shared" si="8"/>
        <v>23</v>
      </c>
      <c r="B28" s="71">
        <v>143</v>
      </c>
      <c r="C28" s="64">
        <v>2040</v>
      </c>
      <c r="D28" s="72" t="s">
        <v>109</v>
      </c>
      <c r="E28" s="71" t="s">
        <v>70</v>
      </c>
      <c r="F28" s="137"/>
      <c r="G28" s="73">
        <v>9000000</v>
      </c>
      <c r="H28" s="72">
        <f t="shared" si="2"/>
        <v>5400000</v>
      </c>
      <c r="I28" s="72">
        <f>1225000+375000+1400000+1000000+1400000+1100000+500000+1000000+1557358</f>
        <v>9557358</v>
      </c>
      <c r="J28" s="72">
        <f t="shared" si="3"/>
        <v>-4157358</v>
      </c>
      <c r="K28" s="141">
        <f>1225000+1300000+1300000+1575000</f>
        <v>5400000</v>
      </c>
      <c r="L28" s="72">
        <f>1003000+1003000</f>
        <v>2006000</v>
      </c>
      <c r="M28" s="72"/>
      <c r="N28" s="72">
        <f t="shared" si="4"/>
        <v>2151358</v>
      </c>
      <c r="O28" s="72">
        <f t="shared" si="0"/>
        <v>3600000</v>
      </c>
      <c r="P28" s="72">
        <f>1003000+1003000</f>
        <v>2006000</v>
      </c>
      <c r="Q28" s="72">
        <f>-9558</f>
        <v>-9558</v>
      </c>
      <c r="R28" s="72">
        <f t="shared" si="9"/>
        <v>1603558</v>
      </c>
      <c r="S28" s="72">
        <v>1700000</v>
      </c>
      <c r="T28" s="72">
        <f t="shared" si="5"/>
        <v>306000</v>
      </c>
      <c r="U28" s="72"/>
      <c r="V28" s="53">
        <f t="shared" si="7"/>
        <v>1909558</v>
      </c>
      <c r="W28" s="53">
        <f t="shared" si="1"/>
        <v>9547800</v>
      </c>
      <c r="X28" s="53" t="s">
        <v>116</v>
      </c>
      <c r="Y28" s="74">
        <v>8000000</v>
      </c>
      <c r="Z28" s="75">
        <f t="shared" si="6"/>
        <v>1547800</v>
      </c>
    </row>
    <row r="29" spans="1:26" ht="12.95" customHeight="1" x14ac:dyDescent="0.2">
      <c r="A29" s="70">
        <f t="shared" si="8"/>
        <v>24</v>
      </c>
      <c r="B29" s="71">
        <v>144</v>
      </c>
      <c r="C29" s="64">
        <v>2040</v>
      </c>
      <c r="D29" s="72" t="s">
        <v>109</v>
      </c>
      <c r="E29" s="71" t="s">
        <v>71</v>
      </c>
      <c r="F29" s="137"/>
      <c r="G29" s="73">
        <v>9070000</v>
      </c>
      <c r="H29" s="72">
        <f t="shared" si="2"/>
        <v>5442000</v>
      </c>
      <c r="I29" s="72">
        <f>225001+3200000+1975000+300000+2970000+200000+200000+200000+45488</f>
        <v>9315489</v>
      </c>
      <c r="J29" s="72">
        <f t="shared" si="3"/>
        <v>-3873489</v>
      </c>
      <c r="K29" s="141">
        <f>1310500+1310500+1310500</f>
        <v>3931500</v>
      </c>
      <c r="L29" s="72">
        <f>1011260+1011260</f>
        <v>2022520</v>
      </c>
      <c r="M29" s="72"/>
      <c r="N29" s="136">
        <f t="shared" si="4"/>
        <v>3361469</v>
      </c>
      <c r="O29" s="72">
        <f t="shared" si="0"/>
        <v>3628000</v>
      </c>
      <c r="P29" s="72">
        <f>1011260</f>
        <v>1011260</v>
      </c>
      <c r="Q29" s="72"/>
      <c r="R29" s="72">
        <f t="shared" si="9"/>
        <v>2616740</v>
      </c>
      <c r="S29" s="72">
        <f>1714000+857000</f>
        <v>2571000</v>
      </c>
      <c r="T29" s="72">
        <f t="shared" si="5"/>
        <v>462780</v>
      </c>
      <c r="U29" s="72"/>
      <c r="V29" s="53">
        <f t="shared" si="7"/>
        <v>3079520</v>
      </c>
      <c r="W29" s="53">
        <f t="shared" si="1"/>
        <v>9315489</v>
      </c>
      <c r="X29" s="53" t="s">
        <v>117</v>
      </c>
      <c r="Y29" s="74">
        <v>1925000</v>
      </c>
      <c r="Z29" s="75">
        <f t="shared" si="6"/>
        <v>7390489</v>
      </c>
    </row>
    <row r="30" spans="1:26" ht="12.95" customHeight="1" x14ac:dyDescent="0.2">
      <c r="A30" s="70">
        <f t="shared" si="8"/>
        <v>25</v>
      </c>
      <c r="B30" s="71">
        <v>145</v>
      </c>
      <c r="C30" s="64">
        <v>2040</v>
      </c>
      <c r="D30" s="72" t="s">
        <v>109</v>
      </c>
      <c r="E30" s="71" t="s">
        <v>72</v>
      </c>
      <c r="F30" s="137"/>
      <c r="G30" s="73">
        <v>9100000</v>
      </c>
      <c r="H30" s="72">
        <f t="shared" si="2"/>
        <v>5460000</v>
      </c>
      <c r="I30" s="72">
        <f>1225000+4099000</f>
        <v>5324000</v>
      </c>
      <c r="J30" s="72">
        <f t="shared" si="3"/>
        <v>136000</v>
      </c>
      <c r="K30" s="141">
        <f>1225000+1315000+1315000</f>
        <v>3855000</v>
      </c>
      <c r="L30" s="72">
        <f>1014800</f>
        <v>1014800</v>
      </c>
      <c r="M30" s="72"/>
      <c r="N30" s="72">
        <f t="shared" si="4"/>
        <v>454200</v>
      </c>
      <c r="O30" s="72">
        <f t="shared" si="0"/>
        <v>3640000</v>
      </c>
      <c r="P30" s="72">
        <f>1014800</f>
        <v>1014800</v>
      </c>
      <c r="Q30" s="72">
        <f>1072000+512000+600000</f>
        <v>2184000</v>
      </c>
      <c r="R30" s="72">
        <f t="shared" si="9"/>
        <v>441200</v>
      </c>
      <c r="S30" s="72">
        <f>1720000+860000</f>
        <v>2580000</v>
      </c>
      <c r="T30" s="72">
        <f t="shared" si="5"/>
        <v>464400</v>
      </c>
      <c r="U30" s="72"/>
      <c r="V30" s="53">
        <f t="shared" si="7"/>
        <v>905600</v>
      </c>
      <c r="W30" s="53">
        <f t="shared" si="1"/>
        <v>7508000</v>
      </c>
      <c r="X30" s="53" t="s">
        <v>116</v>
      </c>
      <c r="Y30" s="74">
        <v>5324000</v>
      </c>
      <c r="Z30" s="75">
        <f t="shared" si="6"/>
        <v>2184000</v>
      </c>
    </row>
    <row r="31" spans="1:26" ht="12.95" customHeight="1" x14ac:dyDescent="0.2">
      <c r="A31" s="70">
        <f t="shared" si="8"/>
        <v>26</v>
      </c>
      <c r="B31" s="71">
        <v>146</v>
      </c>
      <c r="C31" s="64">
        <v>2040</v>
      </c>
      <c r="D31" s="72" t="s">
        <v>109</v>
      </c>
      <c r="E31" s="76" t="s">
        <v>130</v>
      </c>
      <c r="F31" s="76"/>
      <c r="G31" s="73">
        <v>12375000</v>
      </c>
      <c r="H31" s="72">
        <f t="shared" si="2"/>
        <v>7425000</v>
      </c>
      <c r="I31" s="72">
        <f>25000+1200000+800000+400000+5000000+1149000</f>
        <v>8574000</v>
      </c>
      <c r="J31" s="72">
        <f t="shared" si="3"/>
        <v>-1149000</v>
      </c>
      <c r="K31" s="141">
        <f>1806250</f>
        <v>1806250</v>
      </c>
      <c r="L31" s="72"/>
      <c r="M31" s="72"/>
      <c r="N31" s="136">
        <f t="shared" si="4"/>
        <v>6767750</v>
      </c>
      <c r="O31" s="72">
        <f t="shared" si="0"/>
        <v>4950000</v>
      </c>
      <c r="P31" s="72"/>
      <c r="Q31" s="72"/>
      <c r="R31" s="72">
        <f t="shared" si="9"/>
        <v>4950000</v>
      </c>
      <c r="S31" s="72"/>
      <c r="T31" s="72">
        <f t="shared" si="5"/>
        <v>0</v>
      </c>
      <c r="U31" s="72"/>
      <c r="V31" s="53">
        <f t="shared" si="7"/>
        <v>4950000</v>
      </c>
      <c r="W31" s="53"/>
      <c r="X31" s="53"/>
      <c r="Y31" s="74"/>
      <c r="Z31" s="75"/>
    </row>
    <row r="32" spans="1:26" ht="12.95" customHeight="1" x14ac:dyDescent="0.2">
      <c r="A32" s="70">
        <f t="shared" si="8"/>
        <v>27</v>
      </c>
      <c r="B32" s="71">
        <v>148</v>
      </c>
      <c r="C32" s="64">
        <v>2040</v>
      </c>
      <c r="D32" s="72" t="s">
        <v>109</v>
      </c>
      <c r="E32" s="71" t="s">
        <v>73</v>
      </c>
      <c r="F32" s="137"/>
      <c r="G32" s="73">
        <v>8930000</v>
      </c>
      <c r="H32" s="72">
        <f t="shared" si="2"/>
        <v>5358000</v>
      </c>
      <c r="I32" s="72">
        <f>2725000+2500000</f>
        <v>5225000</v>
      </c>
      <c r="J32" s="72">
        <f t="shared" si="3"/>
        <v>133000</v>
      </c>
      <c r="K32" s="141">
        <f>2725000+1289500</f>
        <v>4014500</v>
      </c>
      <c r="L32" s="72">
        <v>994750</v>
      </c>
      <c r="M32" s="72"/>
      <c r="N32" s="72">
        <f t="shared" si="4"/>
        <v>215750</v>
      </c>
      <c r="O32" s="72">
        <f t="shared" si="0"/>
        <v>3572000</v>
      </c>
      <c r="P32" s="72">
        <v>994750</v>
      </c>
      <c r="Q32" s="72">
        <f>1071000</f>
        <v>1071000</v>
      </c>
      <c r="R32" s="72">
        <f t="shared" si="9"/>
        <v>1506250</v>
      </c>
      <c r="S32" s="72">
        <v>843000</v>
      </c>
      <c r="T32" s="72">
        <f t="shared" si="5"/>
        <v>151740</v>
      </c>
      <c r="U32" s="72"/>
      <c r="V32" s="53">
        <f t="shared" si="7"/>
        <v>1657990</v>
      </c>
      <c r="W32" s="53">
        <f t="shared" ref="W32:W67" si="10">I32+Q32</f>
        <v>6296000</v>
      </c>
      <c r="X32" s="53" t="s">
        <v>116</v>
      </c>
      <c r="Y32" s="74">
        <v>5225000</v>
      </c>
      <c r="Z32" s="75">
        <f t="shared" si="6"/>
        <v>1071000</v>
      </c>
    </row>
    <row r="33" spans="1:27" ht="12.95" customHeight="1" x14ac:dyDescent="0.2">
      <c r="A33" s="70">
        <f t="shared" si="8"/>
        <v>28</v>
      </c>
      <c r="B33" s="71">
        <v>149</v>
      </c>
      <c r="C33" s="64">
        <v>2040</v>
      </c>
      <c r="D33" s="72" t="s">
        <v>109</v>
      </c>
      <c r="E33" s="71" t="s">
        <v>74</v>
      </c>
      <c r="F33" s="137"/>
      <c r="G33" s="73">
        <v>8600000</v>
      </c>
      <c r="H33" s="72">
        <f t="shared" si="2"/>
        <v>5160000</v>
      </c>
      <c r="I33" s="72">
        <f>1225009+3779000</f>
        <v>5004009</v>
      </c>
      <c r="J33" s="72">
        <f t="shared" si="3"/>
        <v>155991</v>
      </c>
      <c r="K33" s="141">
        <v>5160000</v>
      </c>
      <c r="L33" s="72">
        <f>955800-1111791</f>
        <v>-155991</v>
      </c>
      <c r="M33" s="72"/>
      <c r="N33" s="72">
        <f t="shared" si="4"/>
        <v>0</v>
      </c>
      <c r="O33" s="72">
        <f t="shared" si="0"/>
        <v>3440000</v>
      </c>
      <c r="P33" s="72">
        <v>955800</v>
      </c>
      <c r="Q33" s="72">
        <f>1032000+1516700</f>
        <v>2548700</v>
      </c>
      <c r="R33" s="72">
        <f t="shared" si="9"/>
        <v>-64500</v>
      </c>
      <c r="S33" s="72">
        <v>810000</v>
      </c>
      <c r="T33" s="72">
        <f t="shared" si="5"/>
        <v>145800</v>
      </c>
      <c r="U33" s="72"/>
      <c r="V33" s="53">
        <f t="shared" si="7"/>
        <v>81300</v>
      </c>
      <c r="W33" s="53">
        <f t="shared" si="10"/>
        <v>7552709</v>
      </c>
      <c r="X33" s="53" t="s">
        <v>117</v>
      </c>
      <c r="Y33" s="74">
        <v>5004000</v>
      </c>
      <c r="Z33" s="75">
        <f t="shared" si="6"/>
        <v>2548709</v>
      </c>
    </row>
    <row r="34" spans="1:27" ht="12.95" customHeight="1" x14ac:dyDescent="0.2">
      <c r="A34" s="70">
        <f t="shared" si="8"/>
        <v>29</v>
      </c>
      <c r="B34" s="71">
        <v>150</v>
      </c>
      <c r="C34" s="64">
        <v>2040</v>
      </c>
      <c r="D34" s="72" t="s">
        <v>109</v>
      </c>
      <c r="E34" s="71" t="s">
        <v>75</v>
      </c>
      <c r="F34" s="137"/>
      <c r="G34" s="73">
        <v>8600000</v>
      </c>
      <c r="H34" s="72">
        <f t="shared" si="2"/>
        <v>5160000</v>
      </c>
      <c r="I34" s="72">
        <f>1225001+3779000</f>
        <v>5004001</v>
      </c>
      <c r="J34" s="72">
        <f t="shared" si="3"/>
        <v>155999</v>
      </c>
      <c r="K34" s="141">
        <f>1225001+1240000</f>
        <v>2465001</v>
      </c>
      <c r="L34" s="72"/>
      <c r="M34" s="72"/>
      <c r="N34" s="72">
        <f t="shared" si="4"/>
        <v>2539000</v>
      </c>
      <c r="O34" s="72">
        <f t="shared" si="0"/>
        <v>3440000</v>
      </c>
      <c r="P34" s="72"/>
      <c r="Q34" s="72">
        <f>1032000+1032000</f>
        <v>2064000</v>
      </c>
      <c r="R34" s="72">
        <f t="shared" si="9"/>
        <v>1376000</v>
      </c>
      <c r="S34" s="72">
        <v>0</v>
      </c>
      <c r="T34" s="72">
        <f t="shared" si="5"/>
        <v>0</v>
      </c>
      <c r="U34" s="72"/>
      <c r="V34" s="53">
        <f t="shared" si="7"/>
        <v>1376000</v>
      </c>
      <c r="W34" s="53">
        <f t="shared" si="10"/>
        <v>7068001</v>
      </c>
      <c r="X34" s="53" t="s">
        <v>116</v>
      </c>
      <c r="Y34" s="74">
        <v>1225000</v>
      </c>
      <c r="Z34" s="75">
        <f t="shared" si="6"/>
        <v>5843001</v>
      </c>
    </row>
    <row r="35" spans="1:27" ht="12.95" customHeight="1" x14ac:dyDescent="0.2">
      <c r="A35" s="70">
        <f t="shared" si="8"/>
        <v>30</v>
      </c>
      <c r="B35" s="71">
        <v>151</v>
      </c>
      <c r="C35" s="64">
        <v>2040</v>
      </c>
      <c r="D35" s="72" t="s">
        <v>109</v>
      </c>
      <c r="E35" s="71" t="s">
        <v>236</v>
      </c>
      <c r="F35" s="137"/>
      <c r="G35" s="73">
        <v>11400000</v>
      </c>
      <c r="H35" s="72">
        <f t="shared" si="2"/>
        <v>6840000</v>
      </c>
      <c r="I35" s="72">
        <f>225000+1000000+625000+550000+5900000</f>
        <v>8300000</v>
      </c>
      <c r="J35" s="72">
        <f t="shared" si="3"/>
        <v>-1460000</v>
      </c>
      <c r="K35" s="142">
        <f>1225007+3934993</f>
        <v>5160000</v>
      </c>
      <c r="L35" s="72"/>
      <c r="M35" s="72"/>
      <c r="N35" s="72">
        <f t="shared" si="4"/>
        <v>3140000</v>
      </c>
      <c r="O35" s="72">
        <f t="shared" si="0"/>
        <v>4560000</v>
      </c>
      <c r="P35" s="72"/>
      <c r="Q35" s="72">
        <v>0</v>
      </c>
      <c r="R35" s="72">
        <f t="shared" si="9"/>
        <v>4560000</v>
      </c>
      <c r="S35" s="72">
        <v>0</v>
      </c>
      <c r="T35" s="72">
        <f t="shared" si="5"/>
        <v>0</v>
      </c>
      <c r="U35" s="72"/>
      <c r="V35" s="53">
        <f t="shared" si="7"/>
        <v>4560000</v>
      </c>
      <c r="W35" s="53">
        <f t="shared" si="10"/>
        <v>8300000</v>
      </c>
      <c r="X35" s="53" t="s">
        <v>116</v>
      </c>
      <c r="Y35" s="74">
        <v>1225007</v>
      </c>
      <c r="Z35" s="75">
        <f t="shared" si="6"/>
        <v>7074993</v>
      </c>
      <c r="AA35" s="54" t="s">
        <v>242</v>
      </c>
    </row>
    <row r="36" spans="1:27" ht="12.95" customHeight="1" x14ac:dyDescent="0.2">
      <c r="A36" s="70">
        <f t="shared" si="8"/>
        <v>31</v>
      </c>
      <c r="B36" s="71">
        <v>152</v>
      </c>
      <c r="C36" s="64">
        <v>2040</v>
      </c>
      <c r="D36" s="72" t="s">
        <v>109</v>
      </c>
      <c r="E36" s="71" t="s">
        <v>77</v>
      </c>
      <c r="F36" s="137"/>
      <c r="G36" s="73">
        <v>9381000</v>
      </c>
      <c r="H36" s="72">
        <f t="shared" si="2"/>
        <v>5628600</v>
      </c>
      <c r="I36" s="72">
        <f>1200000+4310000</f>
        <v>5510000</v>
      </c>
      <c r="J36" s="72">
        <f t="shared" si="3"/>
        <v>118600</v>
      </c>
      <c r="K36" s="141">
        <f>1200000+1357150</f>
        <v>2557150</v>
      </c>
      <c r="L36" s="72">
        <v>1047958</v>
      </c>
      <c r="M36" s="72"/>
      <c r="N36" s="72">
        <f t="shared" si="4"/>
        <v>1904892</v>
      </c>
      <c r="O36" s="72">
        <f t="shared" si="0"/>
        <v>3752400</v>
      </c>
      <c r="P36" s="72">
        <v>1047958</v>
      </c>
      <c r="Q36" s="72">
        <f>1126000+1130000</f>
        <v>2256000</v>
      </c>
      <c r="R36" s="72">
        <f t="shared" si="9"/>
        <v>448442</v>
      </c>
      <c r="S36" s="72">
        <v>888100</v>
      </c>
      <c r="T36" s="72">
        <f t="shared" si="5"/>
        <v>159858</v>
      </c>
      <c r="U36" s="72"/>
      <c r="V36" s="53">
        <f t="shared" si="7"/>
        <v>608300</v>
      </c>
      <c r="W36" s="53">
        <f t="shared" si="10"/>
        <v>7766000</v>
      </c>
      <c r="X36" s="53" t="s">
        <v>116</v>
      </c>
      <c r="Y36" s="74">
        <v>5510000</v>
      </c>
      <c r="Z36" s="75">
        <f t="shared" si="6"/>
        <v>2256000</v>
      </c>
    </row>
    <row r="37" spans="1:27" ht="12.95" customHeight="1" x14ac:dyDescent="0.2">
      <c r="A37" s="70">
        <f t="shared" si="8"/>
        <v>32</v>
      </c>
      <c r="B37" s="71">
        <v>153</v>
      </c>
      <c r="C37" s="64">
        <v>2040</v>
      </c>
      <c r="D37" s="72" t="s">
        <v>109</v>
      </c>
      <c r="E37" s="71" t="s">
        <v>78</v>
      </c>
      <c r="F37" s="137"/>
      <c r="G37" s="73">
        <v>9100000</v>
      </c>
      <c r="H37" s="72">
        <f t="shared" si="2"/>
        <v>5460000</v>
      </c>
      <c r="I37" s="72">
        <f>1200000+200000+4000000</f>
        <v>5400000</v>
      </c>
      <c r="J37" s="72">
        <f t="shared" si="3"/>
        <v>60000</v>
      </c>
      <c r="K37" s="141">
        <f>1200000+1315000+1315000</f>
        <v>3830000</v>
      </c>
      <c r="L37" s="72">
        <v>1014800</v>
      </c>
      <c r="M37" s="72"/>
      <c r="N37" s="72">
        <f t="shared" si="4"/>
        <v>555200</v>
      </c>
      <c r="O37" s="72">
        <f t="shared" si="0"/>
        <v>3640000</v>
      </c>
      <c r="P37" s="72">
        <v>1014800</v>
      </c>
      <c r="Q37" s="72">
        <f>1092050.8+1092000</f>
        <v>2184050.7999999998</v>
      </c>
      <c r="R37" s="72">
        <f t="shared" si="9"/>
        <v>441149.20000000019</v>
      </c>
      <c r="S37" s="72">
        <v>860000</v>
      </c>
      <c r="T37" s="72">
        <f t="shared" si="5"/>
        <v>154800</v>
      </c>
      <c r="U37" s="72"/>
      <c r="V37" s="53">
        <f t="shared" si="7"/>
        <v>595949.20000000019</v>
      </c>
      <c r="W37" s="53">
        <f t="shared" si="10"/>
        <v>7584050.7999999998</v>
      </c>
      <c r="X37" s="53" t="s">
        <v>117</v>
      </c>
      <c r="Y37" s="74">
        <v>5400000</v>
      </c>
      <c r="Z37" s="75">
        <f t="shared" si="6"/>
        <v>2184050.7999999998</v>
      </c>
    </row>
    <row r="38" spans="1:27" ht="12.95" customHeight="1" x14ac:dyDescent="0.2">
      <c r="A38" s="70">
        <f t="shared" si="8"/>
        <v>33</v>
      </c>
      <c r="B38" s="71">
        <v>154</v>
      </c>
      <c r="C38" s="64">
        <v>2040</v>
      </c>
      <c r="D38" s="72" t="s">
        <v>109</v>
      </c>
      <c r="E38" s="71" t="s">
        <v>79</v>
      </c>
      <c r="F38" s="137"/>
      <c r="G38" s="73">
        <v>9100000</v>
      </c>
      <c r="H38" s="72">
        <f t="shared" si="2"/>
        <v>5460000</v>
      </c>
      <c r="I38" s="72">
        <f>1225000+1400000+2000005.7+699000+1092750</f>
        <v>6416755.7000000002</v>
      </c>
      <c r="J38" s="72">
        <f t="shared" si="3"/>
        <v>-956755.70000000019</v>
      </c>
      <c r="K38" s="141">
        <f>1225000+1315000</f>
        <v>2540000</v>
      </c>
      <c r="L38" s="72">
        <f>1014800</f>
        <v>1014800</v>
      </c>
      <c r="M38" s="72"/>
      <c r="N38" s="72">
        <f t="shared" ref="N38:N67" si="11">I38-K38-M38-L38</f>
        <v>2861955.7</v>
      </c>
      <c r="O38" s="72">
        <f t="shared" si="0"/>
        <v>3640000</v>
      </c>
      <c r="P38" s="72">
        <f>1014800</f>
        <v>1014800</v>
      </c>
      <c r="Q38" s="72">
        <f>1082058</f>
        <v>1082058</v>
      </c>
      <c r="R38" s="72">
        <f t="shared" si="9"/>
        <v>1543142</v>
      </c>
      <c r="S38" s="72">
        <v>860000</v>
      </c>
      <c r="T38" s="72">
        <f t="shared" si="5"/>
        <v>154800</v>
      </c>
      <c r="U38" s="72"/>
      <c r="V38" s="53">
        <f t="shared" si="7"/>
        <v>1697942</v>
      </c>
      <c r="W38" s="53">
        <f t="shared" si="10"/>
        <v>7498813.7000000002</v>
      </c>
      <c r="X38" s="53" t="s">
        <v>116</v>
      </c>
      <c r="Y38" s="74">
        <v>2625000</v>
      </c>
      <c r="Z38" s="75">
        <f t="shared" si="6"/>
        <v>4873813.7</v>
      </c>
    </row>
    <row r="39" spans="1:27" ht="12.95" customHeight="1" x14ac:dyDescent="0.2">
      <c r="A39" s="70">
        <f t="shared" si="8"/>
        <v>34</v>
      </c>
      <c r="B39" s="71">
        <v>155</v>
      </c>
      <c r="C39" s="64">
        <v>2040</v>
      </c>
      <c r="D39" s="72" t="s">
        <v>109</v>
      </c>
      <c r="E39" s="71" t="s">
        <v>80</v>
      </c>
      <c r="F39" s="137"/>
      <c r="G39" s="73">
        <v>8850000</v>
      </c>
      <c r="H39" s="72">
        <f t="shared" si="2"/>
        <v>5310000</v>
      </c>
      <c r="I39" s="72">
        <f>1225000+3939000</f>
        <v>5164000</v>
      </c>
      <c r="J39" s="72">
        <f t="shared" si="3"/>
        <v>146000</v>
      </c>
      <c r="K39" s="141">
        <f>1225000+1225000</f>
        <v>2450000</v>
      </c>
      <c r="L39" s="72"/>
      <c r="M39" s="72"/>
      <c r="N39" s="72">
        <f t="shared" si="11"/>
        <v>2714000</v>
      </c>
      <c r="O39" s="72">
        <f t="shared" si="0"/>
        <v>3540000</v>
      </c>
      <c r="P39" s="72"/>
      <c r="Q39" s="72">
        <f>1062000+1062000</f>
        <v>2124000</v>
      </c>
      <c r="R39" s="72">
        <f t="shared" si="9"/>
        <v>1416000</v>
      </c>
      <c r="S39" s="72">
        <v>0</v>
      </c>
      <c r="T39" s="72">
        <f t="shared" si="5"/>
        <v>0</v>
      </c>
      <c r="U39" s="72"/>
      <c r="V39" s="53">
        <f t="shared" si="7"/>
        <v>1416000</v>
      </c>
      <c r="W39" s="53">
        <f t="shared" si="10"/>
        <v>7288000</v>
      </c>
      <c r="X39" s="53" t="s">
        <v>116</v>
      </c>
      <c r="Y39" s="74">
        <v>5164000</v>
      </c>
      <c r="Z39" s="75">
        <f t="shared" si="6"/>
        <v>2124000</v>
      </c>
    </row>
    <row r="40" spans="1:27" ht="12.95" customHeight="1" x14ac:dyDescent="0.2">
      <c r="A40" s="70">
        <f t="shared" si="8"/>
        <v>35</v>
      </c>
      <c r="B40" s="71">
        <v>156</v>
      </c>
      <c r="C40" s="64">
        <v>2040</v>
      </c>
      <c r="D40" s="72" t="s">
        <v>109</v>
      </c>
      <c r="E40" s="71" t="s">
        <v>81</v>
      </c>
      <c r="F40" s="137"/>
      <c r="G40" s="73">
        <v>7350000</v>
      </c>
      <c r="H40" s="72">
        <f t="shared" si="2"/>
        <v>4410000</v>
      </c>
      <c r="I40" s="72">
        <f>1225000+2979000</f>
        <v>4204000</v>
      </c>
      <c r="J40" s="72">
        <f t="shared" si="3"/>
        <v>206000</v>
      </c>
      <c r="K40" s="141">
        <f>1225000+1052500</f>
        <v>2277500</v>
      </c>
      <c r="L40" s="72">
        <v>808300</v>
      </c>
      <c r="M40" s="72"/>
      <c r="N40" s="72">
        <f t="shared" si="11"/>
        <v>1118200</v>
      </c>
      <c r="O40" s="72">
        <f t="shared" si="0"/>
        <v>2940000</v>
      </c>
      <c r="P40" s="72">
        <v>808300</v>
      </c>
      <c r="Q40" s="72">
        <f>882000+882000</f>
        <v>1764000</v>
      </c>
      <c r="R40" s="72">
        <f t="shared" si="9"/>
        <v>367700</v>
      </c>
      <c r="S40" s="74">
        <f>685000+685000</f>
        <v>1370000</v>
      </c>
      <c r="T40" s="72">
        <f t="shared" ref="T40:T45" si="12">S41*18/100</f>
        <v>300600</v>
      </c>
      <c r="U40" s="72"/>
      <c r="V40" s="53">
        <f t="shared" si="7"/>
        <v>668300</v>
      </c>
      <c r="W40" s="53">
        <f t="shared" si="10"/>
        <v>5968000</v>
      </c>
      <c r="X40" s="53" t="s">
        <v>116</v>
      </c>
      <c r="Y40" s="74">
        <v>4204000</v>
      </c>
      <c r="Z40" s="75">
        <f t="shared" si="6"/>
        <v>1764000</v>
      </c>
    </row>
    <row r="41" spans="1:27" ht="12.95" customHeight="1" x14ac:dyDescent="0.2">
      <c r="A41" s="70">
        <f t="shared" si="8"/>
        <v>36</v>
      </c>
      <c r="B41" s="71">
        <v>157</v>
      </c>
      <c r="C41" s="64">
        <v>2040</v>
      </c>
      <c r="D41" s="72" t="s">
        <v>109</v>
      </c>
      <c r="E41" s="71" t="s">
        <v>82</v>
      </c>
      <c r="F41" s="137"/>
      <c r="G41" s="73">
        <v>8850000</v>
      </c>
      <c r="H41" s="72">
        <f t="shared" si="2"/>
        <v>5310000</v>
      </c>
      <c r="I41" s="72">
        <f>1225000+3939000+1062000+500000</f>
        <v>6726000</v>
      </c>
      <c r="J41" s="72">
        <f t="shared" si="3"/>
        <v>-1416000</v>
      </c>
      <c r="K41" s="141">
        <f>1225000+1277500</f>
        <v>2502500</v>
      </c>
      <c r="L41" s="72">
        <v>985300</v>
      </c>
      <c r="M41" s="72"/>
      <c r="N41" s="136">
        <f t="shared" si="11"/>
        <v>3238200</v>
      </c>
      <c r="O41" s="72">
        <f t="shared" si="0"/>
        <v>3540000</v>
      </c>
      <c r="P41" s="72">
        <v>985300</v>
      </c>
      <c r="Q41" s="72">
        <f>2000+560000</f>
        <v>562000</v>
      </c>
      <c r="R41" s="72">
        <f t="shared" si="9"/>
        <v>1992700</v>
      </c>
      <c r="S41" s="72">
        <f>835000+835000</f>
        <v>1670000</v>
      </c>
      <c r="T41" s="72">
        <f t="shared" si="12"/>
        <v>334800</v>
      </c>
      <c r="U41" s="72"/>
      <c r="V41" s="53">
        <f t="shared" si="7"/>
        <v>2327500</v>
      </c>
      <c r="W41" s="53">
        <f t="shared" si="10"/>
        <v>7288000</v>
      </c>
      <c r="X41" s="53" t="s">
        <v>116</v>
      </c>
      <c r="Y41" s="74">
        <v>5164000</v>
      </c>
      <c r="Z41" s="75">
        <f t="shared" si="6"/>
        <v>2124000</v>
      </c>
    </row>
    <row r="42" spans="1:27" ht="12.95" customHeight="1" x14ac:dyDescent="0.2">
      <c r="A42" s="70">
        <f t="shared" si="8"/>
        <v>37</v>
      </c>
      <c r="B42" s="71">
        <v>158</v>
      </c>
      <c r="C42" s="64">
        <v>2040</v>
      </c>
      <c r="D42" s="72" t="s">
        <v>109</v>
      </c>
      <c r="E42" s="71" t="s">
        <v>83</v>
      </c>
      <c r="F42" s="137"/>
      <c r="G42" s="73">
        <v>9800000</v>
      </c>
      <c r="H42" s="72">
        <f t="shared" si="2"/>
        <v>5880000</v>
      </c>
      <c r="I42" s="72">
        <f>1225000+4655000</f>
        <v>5880000</v>
      </c>
      <c r="J42" s="72">
        <f t="shared" si="3"/>
        <v>0</v>
      </c>
      <c r="K42" s="141">
        <f>1420000+4460000</f>
        <v>5880000</v>
      </c>
      <c r="L42" s="72">
        <v>1097400</v>
      </c>
      <c r="M42" s="72"/>
      <c r="N42" s="136">
        <f t="shared" si="11"/>
        <v>-1097400</v>
      </c>
      <c r="O42" s="72">
        <f t="shared" si="0"/>
        <v>3920000</v>
      </c>
      <c r="P42" s="72">
        <v>1097400</v>
      </c>
      <c r="Q42" s="72">
        <f>1176000</f>
        <v>1176000</v>
      </c>
      <c r="R42" s="72">
        <f t="shared" si="9"/>
        <v>1646600</v>
      </c>
      <c r="S42" s="72">
        <f>930000+930000</f>
        <v>1860000</v>
      </c>
      <c r="T42" s="72">
        <f t="shared" si="12"/>
        <v>145800</v>
      </c>
      <c r="U42" s="72">
        <v>1180</v>
      </c>
      <c r="V42" s="53">
        <f t="shared" si="7"/>
        <v>1793580</v>
      </c>
      <c r="W42" s="53">
        <f t="shared" si="10"/>
        <v>7056000</v>
      </c>
      <c r="X42" s="53" t="s">
        <v>116</v>
      </c>
      <c r="Y42" s="74">
        <v>1225000</v>
      </c>
      <c r="Z42" s="75">
        <f t="shared" si="6"/>
        <v>5831000</v>
      </c>
    </row>
    <row r="43" spans="1:27" ht="12.95" customHeight="1" x14ac:dyDescent="0.2">
      <c r="A43" s="70">
        <f t="shared" si="8"/>
        <v>38</v>
      </c>
      <c r="B43" s="71">
        <v>159</v>
      </c>
      <c r="C43" s="64">
        <v>2040</v>
      </c>
      <c r="D43" s="72" t="s">
        <v>109</v>
      </c>
      <c r="E43" s="71" t="s">
        <v>84</v>
      </c>
      <c r="F43" s="137"/>
      <c r="G43" s="73">
        <v>8600000</v>
      </c>
      <c r="H43" s="72">
        <f t="shared" si="2"/>
        <v>5160000</v>
      </c>
      <c r="I43" s="72">
        <f>1225002+995100+2783900+2080000</f>
        <v>7084002</v>
      </c>
      <c r="J43" s="72">
        <f t="shared" si="3"/>
        <v>-1924002</v>
      </c>
      <c r="K43" s="141">
        <f>1225002+1240000</f>
        <v>2465002</v>
      </c>
      <c r="L43" s="72">
        <v>955800</v>
      </c>
      <c r="M43" s="72"/>
      <c r="N43" s="136">
        <f t="shared" si="11"/>
        <v>3663200</v>
      </c>
      <c r="O43" s="72">
        <f t="shared" si="0"/>
        <v>3440000</v>
      </c>
      <c r="P43" s="72">
        <v>955800</v>
      </c>
      <c r="Q43" s="72">
        <f>1032000</f>
        <v>1032000</v>
      </c>
      <c r="R43" s="72">
        <f t="shared" si="9"/>
        <v>1452200</v>
      </c>
      <c r="S43" s="72">
        <v>810000</v>
      </c>
      <c r="T43" s="72">
        <f t="shared" si="12"/>
        <v>332100</v>
      </c>
      <c r="U43" s="72">
        <v>1416</v>
      </c>
      <c r="V43" s="53">
        <f t="shared" si="7"/>
        <v>1785716</v>
      </c>
      <c r="W43" s="53">
        <f t="shared" si="10"/>
        <v>8116002</v>
      </c>
      <c r="X43" s="53" t="s">
        <v>116</v>
      </c>
      <c r="Y43" s="74">
        <v>1225000</v>
      </c>
      <c r="Z43" s="75">
        <f t="shared" si="6"/>
        <v>6891002</v>
      </c>
    </row>
    <row r="44" spans="1:27" ht="12.95" customHeight="1" x14ac:dyDescent="0.2">
      <c r="A44" s="70">
        <f t="shared" si="8"/>
        <v>39</v>
      </c>
      <c r="B44" s="71">
        <v>160</v>
      </c>
      <c r="C44" s="64">
        <v>2040</v>
      </c>
      <c r="D44" s="72" t="s">
        <v>109</v>
      </c>
      <c r="E44" s="71" t="s">
        <v>85</v>
      </c>
      <c r="F44" s="137"/>
      <c r="G44" s="73">
        <v>7725000</v>
      </c>
      <c r="H44" s="72">
        <f t="shared" si="2"/>
        <v>4635000</v>
      </c>
      <c r="I44" s="72">
        <v>4444000</v>
      </c>
      <c r="J44" s="72">
        <f t="shared" si="3"/>
        <v>191000</v>
      </c>
      <c r="K44" s="141">
        <f>1408750+1108750</f>
        <v>2517500</v>
      </c>
      <c r="L44" s="72">
        <v>1088550</v>
      </c>
      <c r="M44" s="72"/>
      <c r="N44" s="72">
        <f t="shared" si="11"/>
        <v>837950</v>
      </c>
      <c r="O44" s="72">
        <f t="shared" si="0"/>
        <v>3090000</v>
      </c>
      <c r="P44" s="72">
        <v>1088550</v>
      </c>
      <c r="Q44" s="72">
        <f>527000+400000+27000+600000+300000</f>
        <v>1854000</v>
      </c>
      <c r="R44" s="72">
        <f t="shared" si="9"/>
        <v>147450</v>
      </c>
      <c r="S44" s="72">
        <f>922500+922500</f>
        <v>1845000</v>
      </c>
      <c r="T44" s="72">
        <f t="shared" si="12"/>
        <v>374400</v>
      </c>
      <c r="U44" s="72"/>
      <c r="V44" s="53">
        <f t="shared" si="7"/>
        <v>521850</v>
      </c>
      <c r="W44" s="53">
        <f t="shared" si="10"/>
        <v>6298000</v>
      </c>
      <c r="X44" s="53" t="s">
        <v>116</v>
      </c>
      <c r="Y44" s="74">
        <v>4444000</v>
      </c>
      <c r="Z44" s="75">
        <f t="shared" si="6"/>
        <v>1854000</v>
      </c>
    </row>
    <row r="45" spans="1:27" ht="12.95" customHeight="1" x14ac:dyDescent="0.2">
      <c r="A45" s="70">
        <f t="shared" si="8"/>
        <v>40</v>
      </c>
      <c r="B45" s="71">
        <v>161</v>
      </c>
      <c r="C45" s="64">
        <v>2040</v>
      </c>
      <c r="D45" s="72" t="s">
        <v>109</v>
      </c>
      <c r="E45" s="71" t="s">
        <v>86</v>
      </c>
      <c r="F45" s="137"/>
      <c r="G45" s="73">
        <v>10900000</v>
      </c>
      <c r="H45" s="72">
        <f t="shared" si="2"/>
        <v>6540000</v>
      </c>
      <c r="I45" s="72">
        <f>2355000+5429000</f>
        <v>7784000</v>
      </c>
      <c r="J45" s="72">
        <f t="shared" si="3"/>
        <v>-1244000</v>
      </c>
      <c r="K45" s="142">
        <f>1585000+1585000+1585000</f>
        <v>4755000</v>
      </c>
      <c r="L45" s="72">
        <v>1227200</v>
      </c>
      <c r="M45" s="72">
        <v>3658</v>
      </c>
      <c r="N45" s="72">
        <f t="shared" si="11"/>
        <v>1798142</v>
      </c>
      <c r="O45" s="72">
        <f t="shared" si="0"/>
        <v>4360000</v>
      </c>
      <c r="P45" s="72">
        <v>1227200</v>
      </c>
      <c r="Q45" s="72">
        <f>1308000</f>
        <v>1308000</v>
      </c>
      <c r="R45" s="72">
        <f t="shared" si="9"/>
        <v>1824800</v>
      </c>
      <c r="S45" s="72">
        <f>1040000+1040000</f>
        <v>2080000</v>
      </c>
      <c r="T45" s="72">
        <f t="shared" si="12"/>
        <v>264600</v>
      </c>
      <c r="U45" s="72"/>
      <c r="V45" s="53">
        <f t="shared" si="7"/>
        <v>2089400</v>
      </c>
      <c r="W45" s="53">
        <f t="shared" si="10"/>
        <v>9092000</v>
      </c>
      <c r="X45" s="53" t="s">
        <v>116</v>
      </c>
      <c r="Y45" s="74">
        <v>2355000</v>
      </c>
      <c r="Z45" s="75">
        <f t="shared" si="6"/>
        <v>6737000</v>
      </c>
    </row>
    <row r="46" spans="1:27" ht="12.95" customHeight="1" x14ac:dyDescent="0.2">
      <c r="A46" s="70">
        <f t="shared" si="8"/>
        <v>41</v>
      </c>
      <c r="B46" s="71">
        <v>162</v>
      </c>
      <c r="C46" s="64">
        <v>2040</v>
      </c>
      <c r="D46" s="72" t="s">
        <v>109</v>
      </c>
      <c r="E46" s="71" t="s">
        <v>87</v>
      </c>
      <c r="F46" s="137"/>
      <c r="G46" s="73">
        <v>7850000</v>
      </c>
      <c r="H46" s="72">
        <f t="shared" si="2"/>
        <v>4710000</v>
      </c>
      <c r="I46" s="72">
        <f>1225000+4900000+800000+565200</f>
        <v>7490200</v>
      </c>
      <c r="J46" s="72">
        <f t="shared" si="3"/>
        <v>-2780200</v>
      </c>
      <c r="K46" s="142">
        <f>1225000+1127500+1127500+1127500</f>
        <v>4607500</v>
      </c>
      <c r="L46" s="72">
        <f>867300+867300</f>
        <v>1734600</v>
      </c>
      <c r="M46" s="72"/>
      <c r="N46" s="72">
        <f t="shared" si="11"/>
        <v>1148100</v>
      </c>
      <c r="O46" s="72">
        <f t="shared" si="0"/>
        <v>3140000</v>
      </c>
      <c r="P46" s="72">
        <f>867300+867300</f>
        <v>1734600</v>
      </c>
      <c r="Q46" s="72">
        <f>600000</f>
        <v>600000</v>
      </c>
      <c r="R46" s="72">
        <f t="shared" si="9"/>
        <v>805400</v>
      </c>
      <c r="S46" s="72">
        <v>1470000</v>
      </c>
      <c r="T46" s="72">
        <f>S46*18/100</f>
        <v>264600</v>
      </c>
      <c r="U46" s="72"/>
      <c r="V46" s="53">
        <f t="shared" si="7"/>
        <v>1070000</v>
      </c>
      <c r="W46" s="53">
        <f t="shared" si="10"/>
        <v>8090200</v>
      </c>
      <c r="X46" s="53" t="s">
        <v>116</v>
      </c>
      <c r="Y46" s="74">
        <v>6125000</v>
      </c>
      <c r="Z46" s="75">
        <f t="shared" si="6"/>
        <v>1965200</v>
      </c>
    </row>
    <row r="47" spans="1:27" ht="12.95" customHeight="1" x14ac:dyDescent="0.2">
      <c r="A47" s="70">
        <f t="shared" si="8"/>
        <v>42</v>
      </c>
      <c r="B47" s="71">
        <v>163</v>
      </c>
      <c r="C47" s="64">
        <v>2040</v>
      </c>
      <c r="D47" s="72" t="s">
        <v>109</v>
      </c>
      <c r="E47" s="71" t="s">
        <v>88</v>
      </c>
      <c r="F47" s="137"/>
      <c r="G47" s="73">
        <v>9700000</v>
      </c>
      <c r="H47" s="72">
        <f t="shared" si="2"/>
        <v>5820000</v>
      </c>
      <c r="I47" s="72">
        <f>6872000+1164000</f>
        <v>8036000</v>
      </c>
      <c r="J47" s="72">
        <f t="shared" si="3"/>
        <v>-2216000</v>
      </c>
      <c r="K47" s="141">
        <f>1405000+1405000+1405000</f>
        <v>4215000</v>
      </c>
      <c r="L47" s="72">
        <f>1085600+1085600</f>
        <v>2171200</v>
      </c>
      <c r="M47" s="72"/>
      <c r="N47" s="72">
        <f t="shared" si="11"/>
        <v>1649800</v>
      </c>
      <c r="O47" s="72">
        <f t="shared" si="0"/>
        <v>3880000</v>
      </c>
      <c r="P47" s="72">
        <f>1085600+1085600</f>
        <v>2171200</v>
      </c>
      <c r="Q47" s="72"/>
      <c r="R47" s="72">
        <f t="shared" si="9"/>
        <v>1708800</v>
      </c>
      <c r="S47" s="72">
        <v>1840000</v>
      </c>
      <c r="T47" s="72">
        <f t="shared" si="5"/>
        <v>331200</v>
      </c>
      <c r="U47" s="72"/>
      <c r="V47" s="53">
        <f t="shared" si="7"/>
        <v>2040000</v>
      </c>
      <c r="W47" s="53">
        <f t="shared" si="10"/>
        <v>8036000</v>
      </c>
      <c r="X47" s="53" t="s">
        <v>116</v>
      </c>
      <c r="Y47" s="74">
        <v>6872000</v>
      </c>
      <c r="Z47" s="75">
        <f t="shared" si="6"/>
        <v>1164000</v>
      </c>
    </row>
    <row r="48" spans="1:27" ht="12.95" customHeight="1" x14ac:dyDescent="0.2">
      <c r="A48" s="70">
        <f t="shared" si="8"/>
        <v>43</v>
      </c>
      <c r="B48" s="71">
        <v>164</v>
      </c>
      <c r="C48" s="64">
        <v>2040</v>
      </c>
      <c r="D48" s="72" t="s">
        <v>109</v>
      </c>
      <c r="E48" s="71" t="s">
        <v>89</v>
      </c>
      <c r="F48" s="137"/>
      <c r="G48" s="73">
        <v>8300000</v>
      </c>
      <c r="H48" s="72">
        <f t="shared" si="2"/>
        <v>4980000</v>
      </c>
      <c r="I48" s="72">
        <f>1225001+3581100+1000000</f>
        <v>5806101</v>
      </c>
      <c r="J48" s="72">
        <f t="shared" si="3"/>
        <v>-826101</v>
      </c>
      <c r="K48" s="141">
        <f>1495000+1495000+1495000+495000</f>
        <v>4980000</v>
      </c>
      <c r="L48" s="72">
        <f>1156400+1156400-1899803</f>
        <v>412997</v>
      </c>
      <c r="M48" s="72">
        <v>413104</v>
      </c>
      <c r="N48" s="136">
        <f t="shared" si="11"/>
        <v>0</v>
      </c>
      <c r="O48" s="72">
        <f t="shared" si="0"/>
        <v>3320000</v>
      </c>
      <c r="P48" s="72">
        <f>1156400+1156400</f>
        <v>2312800</v>
      </c>
      <c r="Q48" s="72">
        <f>1992000</f>
        <v>1992000</v>
      </c>
      <c r="R48" s="72">
        <f t="shared" si="9"/>
        <v>-984800</v>
      </c>
      <c r="S48" s="72">
        <f>1960000+980000</f>
        <v>2940000</v>
      </c>
      <c r="T48" s="72">
        <f t="shared" si="5"/>
        <v>529200</v>
      </c>
      <c r="U48" s="72"/>
      <c r="V48" s="53">
        <f t="shared" si="7"/>
        <v>-455600</v>
      </c>
      <c r="W48" s="53">
        <f t="shared" si="10"/>
        <v>7798101</v>
      </c>
      <c r="X48" s="53" t="s">
        <v>116</v>
      </c>
      <c r="Y48" s="74">
        <v>725000</v>
      </c>
      <c r="Z48" s="75">
        <f t="shared" si="6"/>
        <v>7073101</v>
      </c>
    </row>
    <row r="49" spans="1:26" ht="12.95" customHeight="1" x14ac:dyDescent="0.2">
      <c r="A49" s="70">
        <f t="shared" si="8"/>
        <v>44</v>
      </c>
      <c r="B49" s="71">
        <v>165</v>
      </c>
      <c r="C49" s="64">
        <v>2040</v>
      </c>
      <c r="D49" s="72" t="s">
        <v>109</v>
      </c>
      <c r="E49" s="71" t="s">
        <v>90</v>
      </c>
      <c r="F49" s="137"/>
      <c r="G49" s="73">
        <v>5000000</v>
      </c>
      <c r="H49" s="72">
        <f t="shared" si="2"/>
        <v>3000000</v>
      </c>
      <c r="I49" s="72">
        <v>6049307</v>
      </c>
      <c r="J49" s="72">
        <f t="shared" si="3"/>
        <v>-3049307</v>
      </c>
      <c r="K49" s="141">
        <v>3000000</v>
      </c>
      <c r="L49" s="72">
        <f>1062000</f>
        <v>1062000</v>
      </c>
      <c r="M49" s="72"/>
      <c r="N49" s="72">
        <f t="shared" si="11"/>
        <v>1987307</v>
      </c>
      <c r="O49" s="72">
        <f t="shared" si="0"/>
        <v>2000000</v>
      </c>
      <c r="P49" s="72">
        <f>1062000</f>
        <v>1062000</v>
      </c>
      <c r="Q49" s="72"/>
      <c r="R49" s="72">
        <f t="shared" si="9"/>
        <v>938000</v>
      </c>
      <c r="S49" s="72">
        <v>900000</v>
      </c>
      <c r="T49" s="72">
        <f t="shared" si="5"/>
        <v>162000</v>
      </c>
      <c r="U49" s="72"/>
      <c r="V49" s="53">
        <f t="shared" si="7"/>
        <v>1100000</v>
      </c>
      <c r="W49" s="53">
        <f t="shared" si="10"/>
        <v>6049307</v>
      </c>
      <c r="X49" s="53"/>
      <c r="Y49" s="74">
        <v>4260007</v>
      </c>
      <c r="Z49" s="75">
        <f t="shared" si="6"/>
        <v>1789300</v>
      </c>
    </row>
    <row r="50" spans="1:26" ht="12.95" customHeight="1" x14ac:dyDescent="0.2">
      <c r="A50" s="70">
        <f t="shared" si="8"/>
        <v>45</v>
      </c>
      <c r="B50" s="71">
        <v>166</v>
      </c>
      <c r="C50" s="64">
        <v>2040</v>
      </c>
      <c r="D50" s="72" t="s">
        <v>109</v>
      </c>
      <c r="E50" s="71" t="s">
        <v>91</v>
      </c>
      <c r="F50" s="137"/>
      <c r="G50" s="73">
        <v>10875000</v>
      </c>
      <c r="H50" s="72">
        <f t="shared" si="2"/>
        <v>6525000</v>
      </c>
      <c r="I50" s="72">
        <f>1225000+5235000</f>
        <v>6460000</v>
      </c>
      <c r="J50" s="72">
        <f t="shared" si="3"/>
        <v>65000</v>
      </c>
      <c r="K50" s="141">
        <v>6525000</v>
      </c>
      <c r="L50" s="72"/>
      <c r="M50" s="72"/>
      <c r="N50" s="72">
        <f t="shared" si="11"/>
        <v>-65000</v>
      </c>
      <c r="O50" s="72">
        <f t="shared" si="0"/>
        <v>4350000</v>
      </c>
      <c r="P50" s="72"/>
      <c r="Q50" s="72">
        <f>1305000</f>
        <v>1305000</v>
      </c>
      <c r="R50" s="72">
        <f t="shared" si="9"/>
        <v>3045000</v>
      </c>
      <c r="S50" s="72">
        <v>0</v>
      </c>
      <c r="T50" s="72">
        <f t="shared" si="5"/>
        <v>0</v>
      </c>
      <c r="U50" s="72"/>
      <c r="V50" s="53">
        <f t="shared" si="7"/>
        <v>3045000</v>
      </c>
      <c r="W50" s="53">
        <f t="shared" si="10"/>
        <v>7765000</v>
      </c>
      <c r="X50" s="53" t="s">
        <v>116</v>
      </c>
      <c r="Y50" s="74">
        <v>1225000</v>
      </c>
      <c r="Z50" s="75">
        <f t="shared" si="6"/>
        <v>6540000</v>
      </c>
    </row>
    <row r="51" spans="1:26" ht="12.95" customHeight="1" x14ac:dyDescent="0.2">
      <c r="A51" s="70">
        <f t="shared" si="8"/>
        <v>46</v>
      </c>
      <c r="B51" s="71">
        <v>168</v>
      </c>
      <c r="C51" s="64">
        <v>2040</v>
      </c>
      <c r="D51" s="72" t="s">
        <v>109</v>
      </c>
      <c r="E51" s="71" t="s">
        <v>92</v>
      </c>
      <c r="F51" s="137"/>
      <c r="G51" s="73">
        <v>10900000</v>
      </c>
      <c r="H51" s="72">
        <f t="shared" si="2"/>
        <v>6540000</v>
      </c>
      <c r="I51" s="72">
        <f>1225000+5315000-93123</f>
        <v>6446877</v>
      </c>
      <c r="J51" s="72">
        <f t="shared" si="3"/>
        <v>93123</v>
      </c>
      <c r="K51" s="142">
        <v>6540000</v>
      </c>
      <c r="L51" s="72"/>
      <c r="M51" s="72"/>
      <c r="N51" s="136">
        <f t="shared" si="11"/>
        <v>-93123</v>
      </c>
      <c r="O51" s="72">
        <f t="shared" si="0"/>
        <v>4360000</v>
      </c>
      <c r="P51" s="72"/>
      <c r="Q51" s="72">
        <f>600000+1542000</f>
        <v>2142000</v>
      </c>
      <c r="R51" s="72">
        <f t="shared" si="9"/>
        <v>2218000</v>
      </c>
      <c r="S51" s="72"/>
      <c r="T51" s="72">
        <f t="shared" si="5"/>
        <v>0</v>
      </c>
      <c r="U51" s="72"/>
      <c r="V51" s="53">
        <f t="shared" si="7"/>
        <v>2218000</v>
      </c>
      <c r="W51" s="53"/>
      <c r="X51" s="53" t="s">
        <v>116</v>
      </c>
      <c r="Y51" s="74">
        <v>725000</v>
      </c>
      <c r="Z51" s="75">
        <f t="shared" si="6"/>
        <v>-725000</v>
      </c>
    </row>
    <row r="52" spans="1:26" ht="12.95" customHeight="1" x14ac:dyDescent="0.2">
      <c r="A52" s="70">
        <f t="shared" si="8"/>
        <v>47</v>
      </c>
      <c r="B52" s="71">
        <v>167</v>
      </c>
      <c r="C52" s="64">
        <v>2040</v>
      </c>
      <c r="D52" s="72" t="s">
        <v>237</v>
      </c>
      <c r="E52" s="71" t="s">
        <v>238</v>
      </c>
      <c r="F52" s="137"/>
      <c r="G52" s="73"/>
      <c r="H52" s="72"/>
      <c r="I52" s="72">
        <f>1225000+7485000</f>
        <v>8710000</v>
      </c>
      <c r="J52" s="72"/>
      <c r="K52" s="141">
        <v>6540000</v>
      </c>
      <c r="L52" s="72"/>
      <c r="M52" s="72"/>
      <c r="N52" s="136">
        <f t="shared" si="11"/>
        <v>2170000</v>
      </c>
      <c r="O52" s="72">
        <f t="shared" si="0"/>
        <v>0</v>
      </c>
      <c r="P52" s="72"/>
      <c r="Q52" s="72"/>
      <c r="R52" s="72">
        <f t="shared" si="9"/>
        <v>0</v>
      </c>
      <c r="S52" s="72">
        <f>1040000</f>
        <v>1040000</v>
      </c>
      <c r="T52" s="72"/>
      <c r="U52" s="72">
        <v>12508</v>
      </c>
      <c r="V52" s="53">
        <f t="shared" si="7"/>
        <v>12508</v>
      </c>
      <c r="W52" s="53"/>
      <c r="X52" s="53"/>
      <c r="Y52" s="74"/>
      <c r="Z52" s="75"/>
    </row>
    <row r="53" spans="1:26" ht="12.95" customHeight="1" x14ac:dyDescent="0.2">
      <c r="A53" s="70">
        <f t="shared" si="8"/>
        <v>48</v>
      </c>
      <c r="B53" s="71">
        <v>169</v>
      </c>
      <c r="C53" s="64">
        <v>2040</v>
      </c>
      <c r="D53" s="72" t="s">
        <v>109</v>
      </c>
      <c r="E53" s="71" t="s">
        <v>93</v>
      </c>
      <c r="F53" s="137"/>
      <c r="G53" s="73">
        <v>11350000</v>
      </c>
      <c r="H53" s="72">
        <f t="shared" si="2"/>
        <v>6810000</v>
      </c>
      <c r="I53" s="72">
        <f>225000+1000000+5539000</f>
        <v>6764000</v>
      </c>
      <c r="J53" s="72">
        <f t="shared" si="3"/>
        <v>46000</v>
      </c>
      <c r="K53" s="141">
        <v>6810000</v>
      </c>
      <c r="L53" s="72"/>
      <c r="M53" s="72"/>
      <c r="N53" s="72">
        <f t="shared" si="11"/>
        <v>-46000</v>
      </c>
      <c r="O53" s="72">
        <f t="shared" si="0"/>
        <v>4540000</v>
      </c>
      <c r="P53" s="72"/>
      <c r="Q53" s="72"/>
      <c r="R53" s="72">
        <f t="shared" si="9"/>
        <v>4540000</v>
      </c>
      <c r="S53" s="72">
        <v>0</v>
      </c>
      <c r="T53" s="72">
        <f t="shared" si="5"/>
        <v>0</v>
      </c>
      <c r="U53" s="72"/>
      <c r="V53" s="53">
        <f t="shared" si="7"/>
        <v>4540000</v>
      </c>
      <c r="W53" s="53">
        <f t="shared" si="10"/>
        <v>6764000</v>
      </c>
      <c r="X53" s="53" t="s">
        <v>116</v>
      </c>
      <c r="Y53" s="74">
        <v>225000</v>
      </c>
      <c r="Z53" s="75">
        <f t="shared" si="6"/>
        <v>6539000</v>
      </c>
    </row>
    <row r="54" spans="1:26" ht="12.95" customHeight="1" x14ac:dyDescent="0.2">
      <c r="A54" s="70">
        <f t="shared" si="8"/>
        <v>49</v>
      </c>
      <c r="B54" s="71">
        <v>170</v>
      </c>
      <c r="C54" s="64">
        <v>2040</v>
      </c>
      <c r="D54" s="72" t="s">
        <v>109</v>
      </c>
      <c r="E54" s="71" t="s">
        <v>94</v>
      </c>
      <c r="F54" s="137"/>
      <c r="G54" s="73">
        <v>10400000</v>
      </c>
      <c r="H54" s="72">
        <f t="shared" si="2"/>
        <v>6240000</v>
      </c>
      <c r="I54" s="72">
        <f>1425000+946200+3784800</f>
        <v>6156000</v>
      </c>
      <c r="J54" s="72">
        <f t="shared" si="3"/>
        <v>84000</v>
      </c>
      <c r="K54" s="141">
        <v>6156000</v>
      </c>
      <c r="L54" s="72"/>
      <c r="M54" s="72"/>
      <c r="N54" s="136">
        <f t="shared" si="11"/>
        <v>0</v>
      </c>
      <c r="O54" s="72">
        <f t="shared" si="0"/>
        <v>4160000</v>
      </c>
      <c r="P54" s="72"/>
      <c r="Q54" s="72">
        <f>278400+969600</f>
        <v>1248000</v>
      </c>
      <c r="R54" s="72">
        <f t="shared" si="9"/>
        <v>2912000</v>
      </c>
      <c r="S54" s="72">
        <v>0</v>
      </c>
      <c r="T54" s="72">
        <f t="shared" si="5"/>
        <v>0</v>
      </c>
      <c r="U54" s="72"/>
      <c r="V54" s="53">
        <f t="shared" si="7"/>
        <v>2912000</v>
      </c>
      <c r="W54" s="53">
        <f t="shared" si="10"/>
        <v>7404000</v>
      </c>
      <c r="X54" s="53" t="s">
        <v>116</v>
      </c>
      <c r="Y54" s="74">
        <v>1425000</v>
      </c>
      <c r="Z54" s="75">
        <f t="shared" si="6"/>
        <v>5979000</v>
      </c>
    </row>
    <row r="55" spans="1:26" ht="12.95" customHeight="1" x14ac:dyDescent="0.2">
      <c r="A55" s="70">
        <f t="shared" si="8"/>
        <v>50</v>
      </c>
      <c r="B55" s="71">
        <v>171</v>
      </c>
      <c r="C55" s="64">
        <v>2040</v>
      </c>
      <c r="D55" s="72" t="s">
        <v>109</v>
      </c>
      <c r="E55" s="71" t="s">
        <v>95</v>
      </c>
      <c r="F55" s="137"/>
      <c r="G55" s="73">
        <v>11400000</v>
      </c>
      <c r="H55" s="72">
        <f t="shared" si="2"/>
        <v>6840000</v>
      </c>
      <c r="I55" s="72">
        <f>225000+1000000+5571000</f>
        <v>6796000</v>
      </c>
      <c r="J55" s="72">
        <f t="shared" si="3"/>
        <v>44000</v>
      </c>
      <c r="K55" s="141">
        <v>6840000</v>
      </c>
      <c r="L55" s="72"/>
      <c r="M55" s="72"/>
      <c r="N55" s="72">
        <f t="shared" si="11"/>
        <v>-44000</v>
      </c>
      <c r="O55" s="72">
        <f t="shared" si="0"/>
        <v>4560000</v>
      </c>
      <c r="P55" s="72"/>
      <c r="Q55" s="72"/>
      <c r="R55" s="72">
        <f t="shared" si="9"/>
        <v>4560000</v>
      </c>
      <c r="S55" s="72">
        <v>0</v>
      </c>
      <c r="T55" s="72">
        <f t="shared" si="5"/>
        <v>0</v>
      </c>
      <c r="U55" s="72"/>
      <c r="V55" s="53">
        <f t="shared" si="7"/>
        <v>4560000</v>
      </c>
      <c r="W55" s="53">
        <f t="shared" si="10"/>
        <v>6796000</v>
      </c>
      <c r="X55" s="53" t="s">
        <v>116</v>
      </c>
      <c r="Y55" s="74">
        <v>225000</v>
      </c>
      <c r="Z55" s="75">
        <f t="shared" si="6"/>
        <v>6571000</v>
      </c>
    </row>
    <row r="56" spans="1:26" ht="12.95" customHeight="1" x14ac:dyDescent="0.2">
      <c r="A56" s="70">
        <f t="shared" si="8"/>
        <v>51</v>
      </c>
      <c r="B56" s="71">
        <v>174</v>
      </c>
      <c r="C56" s="64">
        <v>2040</v>
      </c>
      <c r="D56" s="72" t="s">
        <v>109</v>
      </c>
      <c r="E56" s="71" t="s">
        <v>96</v>
      </c>
      <c r="F56" s="137"/>
      <c r="G56" s="73">
        <v>10000000</v>
      </c>
      <c r="H56" s="72">
        <f t="shared" si="2"/>
        <v>6000000</v>
      </c>
      <c r="I56" s="72">
        <f>1225000+2000000+2000000+675000</f>
        <v>5900000</v>
      </c>
      <c r="J56" s="72">
        <f t="shared" si="3"/>
        <v>100000</v>
      </c>
      <c r="K56" s="141">
        <v>6000000</v>
      </c>
      <c r="L56" s="72"/>
      <c r="M56" s="72"/>
      <c r="N56" s="136">
        <f t="shared" si="11"/>
        <v>-100000</v>
      </c>
      <c r="O56" s="72">
        <f t="shared" si="0"/>
        <v>4000000</v>
      </c>
      <c r="P56" s="72"/>
      <c r="Q56" s="72"/>
      <c r="R56" s="72">
        <f t="shared" si="9"/>
        <v>4000000</v>
      </c>
      <c r="S56" s="72">
        <v>0</v>
      </c>
      <c r="T56" s="72">
        <f t="shared" si="5"/>
        <v>0</v>
      </c>
      <c r="U56" s="72"/>
      <c r="V56" s="53">
        <f t="shared" si="7"/>
        <v>4000000</v>
      </c>
      <c r="W56" s="53">
        <f t="shared" si="10"/>
        <v>5900000</v>
      </c>
      <c r="X56" s="53" t="s">
        <v>116</v>
      </c>
      <c r="Y56" s="74">
        <v>1225000</v>
      </c>
      <c r="Z56" s="75">
        <f t="shared" si="6"/>
        <v>4675000</v>
      </c>
    </row>
    <row r="57" spans="1:26" ht="12.95" customHeight="1" x14ac:dyDescent="0.2">
      <c r="A57" s="70">
        <f t="shared" si="8"/>
        <v>52</v>
      </c>
      <c r="B57" s="71">
        <v>175</v>
      </c>
      <c r="C57" s="64">
        <v>2040</v>
      </c>
      <c r="D57" s="72" t="s">
        <v>109</v>
      </c>
      <c r="E57" s="71" t="s">
        <v>97</v>
      </c>
      <c r="F57" s="137"/>
      <c r="G57" s="73">
        <v>10875000</v>
      </c>
      <c r="H57" s="72">
        <f t="shared" si="2"/>
        <v>6525000</v>
      </c>
      <c r="I57" s="72">
        <f>1225000+500000+4700000+1340000</f>
        <v>7765000</v>
      </c>
      <c r="J57" s="72">
        <f t="shared" si="3"/>
        <v>-1240000</v>
      </c>
      <c r="K57" s="141">
        <v>6525000</v>
      </c>
      <c r="L57" s="72"/>
      <c r="M57" s="72"/>
      <c r="N57" s="72">
        <f t="shared" si="11"/>
        <v>1240000</v>
      </c>
      <c r="O57" s="72">
        <f t="shared" si="0"/>
        <v>4350000</v>
      </c>
      <c r="P57" s="72"/>
      <c r="Q57" s="72"/>
      <c r="R57" s="72">
        <f t="shared" si="9"/>
        <v>4350000</v>
      </c>
      <c r="S57" s="72">
        <v>0</v>
      </c>
      <c r="T57" s="72">
        <f t="shared" si="5"/>
        <v>0</v>
      </c>
      <c r="U57" s="72"/>
      <c r="V57" s="53">
        <f t="shared" si="7"/>
        <v>4350000</v>
      </c>
      <c r="W57" s="53">
        <f t="shared" si="10"/>
        <v>7765000</v>
      </c>
      <c r="X57" s="53" t="s">
        <v>116</v>
      </c>
      <c r="Y57" s="74">
        <v>1225000</v>
      </c>
      <c r="Z57" s="75">
        <f t="shared" si="6"/>
        <v>6540000</v>
      </c>
    </row>
    <row r="58" spans="1:26" ht="12.95" customHeight="1" x14ac:dyDescent="0.2">
      <c r="A58" s="70">
        <f t="shared" si="8"/>
        <v>53</v>
      </c>
      <c r="B58" s="71">
        <v>176</v>
      </c>
      <c r="C58" s="64">
        <v>2040</v>
      </c>
      <c r="D58" s="72" t="s">
        <v>109</v>
      </c>
      <c r="E58" s="71" t="s">
        <v>98</v>
      </c>
      <c r="F58" s="137"/>
      <c r="G58" s="73">
        <v>10000000</v>
      </c>
      <c r="H58" s="72">
        <f t="shared" si="2"/>
        <v>6000000</v>
      </c>
      <c r="I58" s="72">
        <f>5875000+972000</f>
        <v>6847000</v>
      </c>
      <c r="J58" s="72">
        <f t="shared" si="3"/>
        <v>-847000</v>
      </c>
      <c r="K58" s="141">
        <v>6000000</v>
      </c>
      <c r="L58" s="72"/>
      <c r="M58" s="72"/>
      <c r="N58" s="72">
        <f t="shared" si="11"/>
        <v>847000</v>
      </c>
      <c r="O58" s="72">
        <f t="shared" si="0"/>
        <v>4000000</v>
      </c>
      <c r="P58" s="72"/>
      <c r="Q58" s="72"/>
      <c r="R58" s="72">
        <f t="shared" si="9"/>
        <v>4000000</v>
      </c>
      <c r="S58" s="72">
        <v>0</v>
      </c>
      <c r="T58" s="72">
        <f t="shared" si="5"/>
        <v>0</v>
      </c>
      <c r="U58" s="72"/>
      <c r="V58" s="53">
        <f t="shared" si="7"/>
        <v>4000000</v>
      </c>
      <c r="W58" s="53">
        <f t="shared" si="10"/>
        <v>6847000</v>
      </c>
      <c r="X58" s="53" t="s">
        <v>116</v>
      </c>
      <c r="Y58" s="74">
        <v>1225000</v>
      </c>
      <c r="Z58" s="75">
        <f t="shared" si="6"/>
        <v>5622000</v>
      </c>
    </row>
    <row r="59" spans="1:26" ht="12.95" customHeight="1" x14ac:dyDescent="0.2">
      <c r="A59" s="70">
        <f t="shared" si="8"/>
        <v>54</v>
      </c>
      <c r="B59" s="71">
        <v>177</v>
      </c>
      <c r="C59" s="64">
        <v>2040</v>
      </c>
      <c r="D59" s="72" t="s">
        <v>109</v>
      </c>
      <c r="E59" s="71" t="s">
        <v>99</v>
      </c>
      <c r="F59" s="137"/>
      <c r="G59" s="73">
        <v>8500000</v>
      </c>
      <c r="H59" s="72">
        <f t="shared" si="2"/>
        <v>5100000</v>
      </c>
      <c r="I59" s="72">
        <f>3825000+350000+225000</f>
        <v>4400000</v>
      </c>
      <c r="J59" s="72">
        <f t="shared" si="3"/>
        <v>700000</v>
      </c>
      <c r="K59" s="141">
        <v>3675000</v>
      </c>
      <c r="L59" s="72"/>
      <c r="M59" s="72"/>
      <c r="N59" s="136">
        <f t="shared" si="11"/>
        <v>725000</v>
      </c>
      <c r="O59" s="72">
        <f t="shared" si="0"/>
        <v>3400000</v>
      </c>
      <c r="P59" s="72"/>
      <c r="Q59" s="72">
        <f>900000+100000+200000</f>
        <v>1200000</v>
      </c>
      <c r="R59" s="72">
        <f t="shared" si="9"/>
        <v>2200000</v>
      </c>
      <c r="S59" s="72">
        <v>0</v>
      </c>
      <c r="T59" s="72">
        <f t="shared" si="5"/>
        <v>0</v>
      </c>
      <c r="U59" s="72"/>
      <c r="V59" s="53">
        <f t="shared" si="7"/>
        <v>2200000</v>
      </c>
      <c r="W59" s="53">
        <f t="shared" si="10"/>
        <v>5600000</v>
      </c>
      <c r="X59" s="53" t="s">
        <v>116</v>
      </c>
      <c r="Y59" s="74">
        <v>1225000</v>
      </c>
      <c r="Z59" s="75">
        <f t="shared" si="6"/>
        <v>4375000</v>
      </c>
    </row>
    <row r="60" spans="1:26" ht="12.95" customHeight="1" x14ac:dyDescent="0.2">
      <c r="A60" s="70">
        <f t="shared" si="8"/>
        <v>55</v>
      </c>
      <c r="B60" s="71">
        <v>178</v>
      </c>
      <c r="C60" s="64">
        <v>2040</v>
      </c>
      <c r="D60" s="72" t="s">
        <v>109</v>
      </c>
      <c r="E60" s="71" t="s">
        <v>100</v>
      </c>
      <c r="F60" s="137"/>
      <c r="G60" s="73">
        <v>12400000</v>
      </c>
      <c r="H60" s="72">
        <f t="shared" si="2"/>
        <v>7440000</v>
      </c>
      <c r="I60" s="72">
        <f>2425000+4000000+1011000+400000+1088000</f>
        <v>8924000</v>
      </c>
      <c r="J60" s="72">
        <f t="shared" si="3"/>
        <v>-1484000</v>
      </c>
      <c r="K60" s="141">
        <v>7440000</v>
      </c>
      <c r="L60" s="72"/>
      <c r="M60" s="72"/>
      <c r="N60" s="136">
        <f t="shared" si="11"/>
        <v>1484000</v>
      </c>
      <c r="O60" s="72">
        <f t="shared" si="0"/>
        <v>4960000</v>
      </c>
      <c r="P60" s="72"/>
      <c r="Q60" s="72"/>
      <c r="R60" s="72">
        <f t="shared" si="9"/>
        <v>4960000</v>
      </c>
      <c r="S60" s="72">
        <v>0</v>
      </c>
      <c r="T60" s="72">
        <f t="shared" si="5"/>
        <v>0</v>
      </c>
      <c r="U60" s="72"/>
      <c r="V60" s="53">
        <f t="shared" si="7"/>
        <v>4960000</v>
      </c>
      <c r="W60" s="53">
        <f t="shared" si="10"/>
        <v>8924000</v>
      </c>
      <c r="X60" s="53" t="s">
        <v>117</v>
      </c>
      <c r="Y60" s="74">
        <v>225000</v>
      </c>
      <c r="Z60" s="75">
        <f t="shared" si="6"/>
        <v>8699000</v>
      </c>
    </row>
    <row r="61" spans="1:26" ht="12.95" customHeight="1" x14ac:dyDescent="0.2">
      <c r="A61" s="70">
        <f t="shared" si="8"/>
        <v>56</v>
      </c>
      <c r="B61" s="71">
        <v>179</v>
      </c>
      <c r="C61" s="64">
        <v>2040</v>
      </c>
      <c r="D61" s="72" t="s">
        <v>109</v>
      </c>
      <c r="E61" s="71" t="s">
        <v>101</v>
      </c>
      <c r="F61" s="137"/>
      <c r="G61" s="73">
        <v>9800000</v>
      </c>
      <c r="H61" s="72">
        <f t="shared" si="2"/>
        <v>5880000</v>
      </c>
      <c r="I61" s="72">
        <f>6025000+1000000</f>
        <v>7025000</v>
      </c>
      <c r="J61" s="72">
        <f t="shared" si="3"/>
        <v>-1145000</v>
      </c>
      <c r="K61" s="141">
        <v>5880000</v>
      </c>
      <c r="L61" s="72"/>
      <c r="M61" s="72">
        <v>3658</v>
      </c>
      <c r="N61" s="72">
        <f t="shared" si="11"/>
        <v>1141342</v>
      </c>
      <c r="O61" s="72">
        <f t="shared" si="0"/>
        <v>3920000</v>
      </c>
      <c r="P61" s="72"/>
      <c r="Q61" s="72"/>
      <c r="R61" s="72">
        <f t="shared" si="9"/>
        <v>3920000</v>
      </c>
      <c r="S61" s="72">
        <v>0</v>
      </c>
      <c r="T61" s="72">
        <f t="shared" si="5"/>
        <v>0</v>
      </c>
      <c r="U61" s="72"/>
      <c r="V61" s="53">
        <f t="shared" si="7"/>
        <v>3920000</v>
      </c>
      <c r="W61" s="53">
        <f t="shared" si="10"/>
        <v>7025000</v>
      </c>
      <c r="X61" s="53" t="s">
        <v>116</v>
      </c>
      <c r="Y61" s="74">
        <v>1225000</v>
      </c>
      <c r="Z61" s="75">
        <f t="shared" si="6"/>
        <v>5800000</v>
      </c>
    </row>
    <row r="62" spans="1:26" ht="12.95" customHeight="1" x14ac:dyDescent="0.2">
      <c r="A62" s="70">
        <f t="shared" si="8"/>
        <v>57</v>
      </c>
      <c r="B62" s="71">
        <v>180</v>
      </c>
      <c r="C62" s="64">
        <v>2040</v>
      </c>
      <c r="D62" s="72" t="s">
        <v>109</v>
      </c>
      <c r="E62" s="71" t="s">
        <v>102</v>
      </c>
      <c r="F62" s="137"/>
      <c r="G62" s="73">
        <v>9800000</v>
      </c>
      <c r="H62" s="72">
        <f t="shared" si="2"/>
        <v>5880000</v>
      </c>
      <c r="I62" s="72">
        <f>225000+5547000</f>
        <v>5772000</v>
      </c>
      <c r="J62" s="72">
        <f t="shared" si="3"/>
        <v>108000</v>
      </c>
      <c r="K62" s="141">
        <f>225000+992200+1345000+1345000</f>
        <v>3907200</v>
      </c>
      <c r="L62" s="72">
        <v>760864</v>
      </c>
      <c r="M62" s="72"/>
      <c r="N62" s="72">
        <f t="shared" si="11"/>
        <v>1103936</v>
      </c>
      <c r="O62" s="72">
        <f t="shared" si="0"/>
        <v>3920000</v>
      </c>
      <c r="P62" s="72">
        <v>760864</v>
      </c>
      <c r="Q62" s="72">
        <f>1176000+150000+1176000</f>
        <v>2502000</v>
      </c>
      <c r="R62" s="72">
        <f t="shared" si="9"/>
        <v>657136</v>
      </c>
      <c r="S62" s="72">
        <v>1289600</v>
      </c>
      <c r="T62" s="72">
        <f t="shared" si="5"/>
        <v>232128</v>
      </c>
      <c r="U62" s="72"/>
      <c r="V62" s="53">
        <f t="shared" si="7"/>
        <v>889264</v>
      </c>
      <c r="W62" s="53">
        <f t="shared" si="10"/>
        <v>8274000</v>
      </c>
      <c r="X62" s="53" t="s">
        <v>116</v>
      </c>
      <c r="Y62" s="74">
        <v>5772000</v>
      </c>
      <c r="Z62" s="75">
        <f t="shared" si="6"/>
        <v>2502000</v>
      </c>
    </row>
    <row r="63" spans="1:26" ht="12.95" customHeight="1" x14ac:dyDescent="0.2">
      <c r="A63" s="70">
        <f t="shared" si="8"/>
        <v>58</v>
      </c>
      <c r="B63" s="71">
        <v>181</v>
      </c>
      <c r="C63" s="64">
        <v>2040</v>
      </c>
      <c r="D63" s="72" t="s">
        <v>109</v>
      </c>
      <c r="E63" s="71" t="s">
        <v>103</v>
      </c>
      <c r="F63" s="137"/>
      <c r="G63" s="73">
        <v>9600000</v>
      </c>
      <c r="H63" s="72">
        <f t="shared" si="2"/>
        <v>5760000</v>
      </c>
      <c r="I63" s="72">
        <f>1000000+5346451</f>
        <v>6346451</v>
      </c>
      <c r="J63" s="72">
        <f t="shared" si="3"/>
        <v>-586451</v>
      </c>
      <c r="K63" s="141">
        <v>5760000</v>
      </c>
      <c r="L63" s="54">
        <v>1073800</v>
      </c>
      <c r="M63" s="72"/>
      <c r="N63" s="72">
        <f t="shared" si="11"/>
        <v>-487349</v>
      </c>
      <c r="O63" s="72">
        <f t="shared" si="0"/>
        <v>3840000</v>
      </c>
      <c r="P63" s="54">
        <v>1073800</v>
      </c>
      <c r="Q63" s="72">
        <f>1152000+1152000</f>
        <v>2304000</v>
      </c>
      <c r="R63" s="72">
        <f t="shared" si="9"/>
        <v>462200</v>
      </c>
      <c r="S63" s="72">
        <v>1820000</v>
      </c>
      <c r="T63" s="72">
        <f t="shared" si="5"/>
        <v>327600</v>
      </c>
      <c r="U63" s="72"/>
      <c r="V63" s="53">
        <f t="shared" si="7"/>
        <v>789800</v>
      </c>
      <c r="W63" s="53">
        <f t="shared" si="10"/>
        <v>8650451</v>
      </c>
      <c r="X63" s="53" t="s">
        <v>117</v>
      </c>
      <c r="Y63" s="74">
        <v>5546450</v>
      </c>
      <c r="Z63" s="75">
        <f t="shared" si="6"/>
        <v>3104001</v>
      </c>
    </row>
    <row r="64" spans="1:26" ht="12.95" customHeight="1" x14ac:dyDescent="0.2">
      <c r="A64" s="70">
        <f t="shared" si="8"/>
        <v>59</v>
      </c>
      <c r="B64" s="71">
        <v>182</v>
      </c>
      <c r="C64" s="64">
        <v>2040</v>
      </c>
      <c r="D64" s="72" t="s">
        <v>109</v>
      </c>
      <c r="E64" s="71" t="s">
        <v>104</v>
      </c>
      <c r="F64" s="137"/>
      <c r="G64" s="73">
        <v>9950000</v>
      </c>
      <c r="H64" s="72">
        <f t="shared" si="2"/>
        <v>5970000</v>
      </c>
      <c r="I64" s="72">
        <f>6068000+200000+200000</f>
        <v>6468000</v>
      </c>
      <c r="J64" s="72">
        <f t="shared" si="3"/>
        <v>-498000</v>
      </c>
      <c r="K64" s="141">
        <v>4327500</v>
      </c>
      <c r="L64" s="72">
        <v>1115100</v>
      </c>
      <c r="M64" s="72"/>
      <c r="N64" s="136">
        <f t="shared" si="11"/>
        <v>1025400</v>
      </c>
      <c r="O64" s="72">
        <f t="shared" si="0"/>
        <v>3980000</v>
      </c>
      <c r="P64" s="72">
        <v>1115100</v>
      </c>
      <c r="Q64" s="72">
        <f>1194000+1194000</f>
        <v>2388000</v>
      </c>
      <c r="R64" s="72">
        <f t="shared" si="9"/>
        <v>476900</v>
      </c>
      <c r="S64" s="72">
        <v>1890000</v>
      </c>
      <c r="T64" s="72">
        <f t="shared" si="5"/>
        <v>340200</v>
      </c>
      <c r="U64" s="72"/>
      <c r="V64" s="53">
        <f t="shared" si="7"/>
        <v>817100</v>
      </c>
      <c r="W64" s="53">
        <f t="shared" si="10"/>
        <v>8856000</v>
      </c>
      <c r="X64" s="53" t="s">
        <v>116</v>
      </c>
      <c r="Y64" s="74">
        <v>6068000</v>
      </c>
      <c r="Z64" s="75">
        <f t="shared" si="6"/>
        <v>2788000</v>
      </c>
    </row>
    <row r="65" spans="1:26" ht="12.95" customHeight="1" x14ac:dyDescent="0.2">
      <c r="A65" s="70">
        <f t="shared" si="8"/>
        <v>60</v>
      </c>
      <c r="B65" s="71">
        <v>183</v>
      </c>
      <c r="C65" s="64">
        <v>2040</v>
      </c>
      <c r="D65" s="72" t="s">
        <v>109</v>
      </c>
      <c r="E65" s="71" t="s">
        <v>105</v>
      </c>
      <c r="F65" s="137"/>
      <c r="G65" s="73">
        <v>10000000</v>
      </c>
      <c r="H65" s="72">
        <f t="shared" si="2"/>
        <v>6000000</v>
      </c>
      <c r="I65" s="72">
        <f>7100000+1200000</f>
        <v>8300000</v>
      </c>
      <c r="J65" s="72">
        <f t="shared" si="3"/>
        <v>-2300000</v>
      </c>
      <c r="K65" s="141">
        <v>6000000</v>
      </c>
      <c r="L65" s="72">
        <v>1121000</v>
      </c>
      <c r="M65" s="72"/>
      <c r="N65" s="72">
        <f t="shared" si="11"/>
        <v>1179000</v>
      </c>
      <c r="O65" s="72">
        <f t="shared" si="0"/>
        <v>4000000</v>
      </c>
      <c r="P65" s="72">
        <v>1121000</v>
      </c>
      <c r="Q65" s="72">
        <v>0</v>
      </c>
      <c r="R65" s="72">
        <f t="shared" si="9"/>
        <v>2879000</v>
      </c>
      <c r="S65" s="72">
        <v>950000</v>
      </c>
      <c r="T65" s="72">
        <f t="shared" si="5"/>
        <v>171000</v>
      </c>
      <c r="U65" s="72"/>
      <c r="V65" s="53">
        <f t="shared" si="7"/>
        <v>3050000</v>
      </c>
      <c r="W65" s="53">
        <f t="shared" si="10"/>
        <v>8300000</v>
      </c>
      <c r="X65" s="53" t="s">
        <v>116</v>
      </c>
      <c r="Y65" s="74">
        <v>5900000</v>
      </c>
      <c r="Z65" s="75">
        <f t="shared" si="6"/>
        <v>2400000</v>
      </c>
    </row>
    <row r="66" spans="1:26" ht="12.95" customHeight="1" x14ac:dyDescent="0.2">
      <c r="A66" s="70">
        <f t="shared" si="8"/>
        <v>61</v>
      </c>
      <c r="B66" s="71">
        <v>184</v>
      </c>
      <c r="C66" s="64">
        <v>2040</v>
      </c>
      <c r="D66" s="72" t="s">
        <v>109</v>
      </c>
      <c r="E66" s="71" t="s">
        <v>106</v>
      </c>
      <c r="F66" s="137"/>
      <c r="G66" s="73">
        <v>10000000</v>
      </c>
      <c r="H66" s="72">
        <f t="shared" si="2"/>
        <v>6000000</v>
      </c>
      <c r="I66" s="72">
        <v>5900000</v>
      </c>
      <c r="J66" s="72">
        <f t="shared" si="3"/>
        <v>100000</v>
      </c>
      <c r="K66" s="141">
        <v>4350000</v>
      </c>
      <c r="L66" s="72">
        <v>1121000</v>
      </c>
      <c r="M66" s="72"/>
      <c r="N66" s="72">
        <f t="shared" si="11"/>
        <v>429000</v>
      </c>
      <c r="O66" s="72">
        <f t="shared" si="0"/>
        <v>4000000</v>
      </c>
      <c r="P66" s="72">
        <v>1121000</v>
      </c>
      <c r="Q66" s="72">
        <f>1200000+1920000</f>
        <v>3120000</v>
      </c>
      <c r="R66" s="72">
        <f t="shared" si="9"/>
        <v>-241000</v>
      </c>
      <c r="S66" s="72">
        <v>1900000</v>
      </c>
      <c r="T66" s="72">
        <f t="shared" si="5"/>
        <v>342000</v>
      </c>
      <c r="U66" s="72">
        <v>9676</v>
      </c>
      <c r="V66" s="53">
        <f t="shared" si="7"/>
        <v>110676</v>
      </c>
      <c r="W66" s="53">
        <f t="shared" si="10"/>
        <v>9020000</v>
      </c>
      <c r="X66" s="53" t="s">
        <v>116</v>
      </c>
      <c r="Y66" s="74">
        <v>5900000</v>
      </c>
      <c r="Z66" s="75">
        <f t="shared" si="6"/>
        <v>3120000</v>
      </c>
    </row>
    <row r="67" spans="1:26" ht="12.95" customHeight="1" x14ac:dyDescent="0.2">
      <c r="A67" s="70">
        <f t="shared" si="8"/>
        <v>62</v>
      </c>
      <c r="B67" s="71">
        <v>185</v>
      </c>
      <c r="C67" s="64">
        <v>2040</v>
      </c>
      <c r="D67" s="72" t="s">
        <v>109</v>
      </c>
      <c r="E67" s="71" t="s">
        <v>107</v>
      </c>
      <c r="F67" s="137"/>
      <c r="G67" s="73">
        <v>10000000</v>
      </c>
      <c r="H67" s="72">
        <f t="shared" si="2"/>
        <v>6000000</v>
      </c>
      <c r="I67" s="72">
        <v>5900000</v>
      </c>
      <c r="J67" s="72">
        <f t="shared" si="3"/>
        <v>100000</v>
      </c>
      <c r="K67" s="141">
        <v>4350000</v>
      </c>
      <c r="L67" s="72">
        <v>1121000</v>
      </c>
      <c r="M67" s="72"/>
      <c r="N67" s="72">
        <f t="shared" si="11"/>
        <v>429000</v>
      </c>
      <c r="O67" s="72">
        <f t="shared" si="0"/>
        <v>4000000</v>
      </c>
      <c r="P67" s="72">
        <v>1121000</v>
      </c>
      <c r="Q67" s="72">
        <f>1200000+1200000</f>
        <v>2400000</v>
      </c>
      <c r="R67" s="72">
        <f t="shared" si="9"/>
        <v>479000</v>
      </c>
      <c r="S67" s="72">
        <v>950000</v>
      </c>
      <c r="T67" s="72">
        <f t="shared" si="5"/>
        <v>171000</v>
      </c>
      <c r="U67" s="72"/>
      <c r="V67" s="53">
        <f t="shared" si="7"/>
        <v>650000</v>
      </c>
      <c r="W67" s="53">
        <f t="shared" si="10"/>
        <v>8300000</v>
      </c>
      <c r="X67" s="53" t="s">
        <v>116</v>
      </c>
      <c r="Y67" s="74">
        <v>5900000</v>
      </c>
      <c r="Z67" s="75">
        <f t="shared" si="6"/>
        <v>2400000</v>
      </c>
    </row>
    <row r="68" spans="1:26" ht="12.95" customHeight="1" x14ac:dyDescent="0.2">
      <c r="A68" s="70"/>
      <c r="B68" s="71"/>
      <c r="C68" s="64"/>
      <c r="D68" s="72"/>
      <c r="E68" s="71"/>
      <c r="F68" s="137"/>
      <c r="G68" s="73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>
        <f t="shared" ref="R68" si="13">O68-Q68</f>
        <v>0</v>
      </c>
      <c r="S68" s="72"/>
      <c r="T68" s="72">
        <f t="shared" si="5"/>
        <v>0</v>
      </c>
      <c r="U68" s="72"/>
      <c r="V68" s="53">
        <f t="shared" ref="V68" si="14">Q68-S68-T68</f>
        <v>0</v>
      </c>
      <c r="W68" s="53"/>
      <c r="X68" s="53"/>
      <c r="Y68" s="74"/>
      <c r="Z68" s="75"/>
    </row>
    <row r="69" spans="1:26" ht="12.95" customHeight="1" x14ac:dyDescent="0.2">
      <c r="A69" s="64"/>
      <c r="B69" s="77" t="s">
        <v>22</v>
      </c>
      <c r="C69" s="52"/>
      <c r="D69" s="72"/>
      <c r="E69" s="54"/>
      <c r="F69" s="139"/>
      <c r="G69" s="52">
        <f>SUM(G6:G67)</f>
        <v>564311000</v>
      </c>
      <c r="H69" s="52">
        <f t="shared" ref="H69:Q69" si="15">SUM(H6:H67)</f>
        <v>338586600</v>
      </c>
      <c r="I69" s="52">
        <f t="shared" si="15"/>
        <v>407899099.69999999</v>
      </c>
      <c r="J69" s="52">
        <f t="shared" si="15"/>
        <v>-60602499.700000003</v>
      </c>
      <c r="K69" s="52">
        <f t="shared" si="15"/>
        <v>294113103</v>
      </c>
      <c r="L69" s="52">
        <f t="shared" si="15"/>
        <v>62199037</v>
      </c>
      <c r="M69" s="52"/>
      <c r="N69" s="52">
        <f t="shared" si="15"/>
        <v>50999901.700000003</v>
      </c>
      <c r="O69" s="52">
        <f t="shared" si="15"/>
        <v>225724400</v>
      </c>
      <c r="P69" s="52"/>
      <c r="Q69" s="52">
        <f t="shared" si="15"/>
        <v>88408873.799999997</v>
      </c>
      <c r="R69" s="52"/>
      <c r="S69" s="52">
        <f>SUM(S6:S67)</f>
        <v>94185228</v>
      </c>
      <c r="T69" s="52">
        <f t="shared" ref="T69:V69" si="16">SUM(T6:T67)</f>
        <v>16784141.039999999</v>
      </c>
      <c r="U69" s="52"/>
      <c r="V69" s="52">
        <f t="shared" si="16"/>
        <v>87335431.239999995</v>
      </c>
      <c r="W69" s="52">
        <f>SUM(W6:W67)</f>
        <v>470435096.5</v>
      </c>
      <c r="X69" s="53"/>
      <c r="Y69" s="54">
        <v>271166513</v>
      </c>
      <c r="Z69" s="53">
        <f>Y69-W69</f>
        <v>-199268583.5</v>
      </c>
    </row>
  </sheetData>
  <pageMargins left="0.11811023622047245" right="0.70866141732283472" top="0.74803149606299213" bottom="0.74803149606299213" header="0.31496062992125984" footer="0.31496062992125984"/>
  <pageSetup paperSize="9" scale="67" orientation="landscape" r:id="rId1"/>
  <rowBreaks count="1" manualBreakCount="1">
    <brk id="48" max="16383" man="1"/>
  </rowBreaks>
  <colBreaks count="1" manualBreakCount="1">
    <brk id="22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A2427-0D88-43FF-B88B-CE6AE8D110A8}">
  <dimension ref="A1"/>
  <sheetViews>
    <sheetView topLeftCell="A58"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0445A-AC49-4EC7-BA48-A9C7AC3C570D}">
  <dimension ref="A1:Q22"/>
  <sheetViews>
    <sheetView topLeftCell="A7" workbookViewId="0">
      <selection activeCell="C6" sqref="C6"/>
    </sheetView>
  </sheetViews>
  <sheetFormatPr defaultColWidth="4.5703125" defaultRowHeight="15" x14ac:dyDescent="0.25"/>
  <cols>
    <col min="1" max="1" width="5.140625" bestFit="1" customWidth="1"/>
    <col min="2" max="2" width="21" bestFit="1" customWidth="1"/>
    <col min="3" max="3" width="4.28515625" bestFit="1" customWidth="1"/>
    <col min="4" max="4" width="8.42578125" customWidth="1"/>
    <col min="5" max="5" width="11.7109375" bestFit="1" customWidth="1"/>
    <col min="6" max="7" width="10.140625" customWidth="1"/>
    <col min="8" max="8" width="10.140625" hidden="1" customWidth="1"/>
    <col min="9" max="9" width="12.85546875" customWidth="1"/>
    <col min="13" max="14" width="13" customWidth="1"/>
    <col min="15" max="15" width="13.28515625" bestFit="1" customWidth="1"/>
    <col min="16" max="16" width="13.28515625" customWidth="1"/>
    <col min="17" max="17" width="11.140625" customWidth="1"/>
  </cols>
  <sheetData>
    <row r="1" spans="1:17" ht="51.75" x14ac:dyDescent="0.25">
      <c r="A1" s="57" t="s">
        <v>131</v>
      </c>
      <c r="B1" s="56" t="s">
        <v>132</v>
      </c>
      <c r="C1" s="56" t="s">
        <v>133</v>
      </c>
      <c r="D1" s="56" t="s">
        <v>134</v>
      </c>
      <c r="E1" s="58" t="s">
        <v>135</v>
      </c>
      <c r="F1" s="56" t="s">
        <v>136</v>
      </c>
      <c r="G1" s="56" t="s">
        <v>137</v>
      </c>
      <c r="H1" s="56"/>
      <c r="I1" s="56" t="s">
        <v>138</v>
      </c>
      <c r="J1" s="56"/>
      <c r="K1" s="56"/>
      <c r="L1" s="56"/>
      <c r="M1" s="56" t="s">
        <v>139</v>
      </c>
      <c r="N1" s="59" t="s">
        <v>140</v>
      </c>
      <c r="O1" s="56" t="s">
        <v>125</v>
      </c>
      <c r="P1" s="78" t="s">
        <v>154</v>
      </c>
      <c r="Q1" s="78" t="s">
        <v>155</v>
      </c>
    </row>
    <row r="2" spans="1:17" x14ac:dyDescent="0.25">
      <c r="A2" s="57">
        <v>1</v>
      </c>
      <c r="B2" s="60" t="s">
        <v>141</v>
      </c>
      <c r="C2" s="90">
        <v>101</v>
      </c>
      <c r="D2" s="57" t="s">
        <v>142</v>
      </c>
      <c r="E2" s="61">
        <v>8420000</v>
      </c>
      <c r="F2" s="62">
        <f t="shared" ref="F2:F21" si="0">E2*60%</f>
        <v>5052000</v>
      </c>
      <c r="G2" s="63">
        <v>6930640</v>
      </c>
      <c r="H2" s="63">
        <v>8826240</v>
      </c>
      <c r="I2" s="62">
        <f>+F2-G2</f>
        <v>-1878640</v>
      </c>
      <c r="J2" s="62"/>
      <c r="K2" s="62"/>
      <c r="L2" s="62"/>
      <c r="M2" s="62">
        <f t="shared" ref="M2:M21" si="1">E2*40%</f>
        <v>3368000</v>
      </c>
      <c r="N2" s="79">
        <v>259000</v>
      </c>
      <c r="O2" s="62">
        <f t="shared" ref="O2:O21" si="2">M2-N2</f>
        <v>3109000</v>
      </c>
      <c r="P2" s="62">
        <f>792000+792000+792000</f>
        <v>2376000</v>
      </c>
      <c r="Q2" s="62">
        <f t="shared" ref="Q2:Q3" si="3">P2*18/100</f>
        <v>427680</v>
      </c>
    </row>
    <row r="3" spans="1:17" x14ac:dyDescent="0.25">
      <c r="A3" s="57">
        <v>2</v>
      </c>
      <c r="B3" s="60" t="s">
        <v>141</v>
      </c>
      <c r="C3" s="90">
        <v>103</v>
      </c>
      <c r="D3" s="57" t="s">
        <v>142</v>
      </c>
      <c r="E3" s="61">
        <v>8300000</v>
      </c>
      <c r="F3" s="62">
        <f t="shared" si="0"/>
        <v>4980000</v>
      </c>
      <c r="G3" s="63">
        <v>4480000</v>
      </c>
      <c r="H3" s="63">
        <v>6804000</v>
      </c>
      <c r="I3" s="62">
        <f t="shared" ref="I3:I21" si="4">F3-G3</f>
        <v>500000</v>
      </c>
      <c r="J3" s="62"/>
      <c r="K3" s="62"/>
      <c r="L3" s="62"/>
      <c r="M3" s="62">
        <f t="shared" si="1"/>
        <v>3320000</v>
      </c>
      <c r="N3" s="63">
        <v>1328000</v>
      </c>
      <c r="O3" s="62">
        <f t="shared" si="2"/>
        <v>1992000</v>
      </c>
      <c r="P3" s="62">
        <f>780000+780000+780000</f>
        <v>2340000</v>
      </c>
      <c r="Q3" s="62">
        <f t="shared" si="3"/>
        <v>421200</v>
      </c>
    </row>
    <row r="4" spans="1:17" x14ac:dyDescent="0.25">
      <c r="A4" s="57">
        <v>3</v>
      </c>
      <c r="B4" s="60" t="s">
        <v>141</v>
      </c>
      <c r="C4" s="90">
        <v>105</v>
      </c>
      <c r="D4" s="57" t="s">
        <v>142</v>
      </c>
      <c r="E4" s="61">
        <v>7100000</v>
      </c>
      <c r="F4" s="62">
        <f t="shared" si="0"/>
        <v>4260000</v>
      </c>
      <c r="G4" s="63">
        <v>4050000</v>
      </c>
      <c r="H4" s="63">
        <v>5750000</v>
      </c>
      <c r="I4" s="62">
        <f t="shared" si="4"/>
        <v>210000</v>
      </c>
      <c r="J4" s="62"/>
      <c r="K4" s="62"/>
      <c r="L4" s="62"/>
      <c r="M4" s="62">
        <f t="shared" si="1"/>
        <v>2840000</v>
      </c>
      <c r="N4" s="63">
        <v>850000</v>
      </c>
      <c r="O4" s="62">
        <f t="shared" si="2"/>
        <v>1990000</v>
      </c>
      <c r="P4" s="62">
        <f>810000+810000+810000</f>
        <v>2430000</v>
      </c>
      <c r="Q4" s="62">
        <f>P4*18/100</f>
        <v>437400</v>
      </c>
    </row>
    <row r="5" spans="1:17" x14ac:dyDescent="0.25">
      <c r="A5" s="57">
        <v>4</v>
      </c>
      <c r="B5" s="60" t="s">
        <v>143</v>
      </c>
      <c r="C5" s="90">
        <v>117</v>
      </c>
      <c r="D5" s="57" t="s">
        <v>142</v>
      </c>
      <c r="E5" s="61">
        <v>8300000</v>
      </c>
      <c r="F5" s="62">
        <f t="shared" si="0"/>
        <v>4980000</v>
      </c>
      <c r="G5" s="63">
        <v>4812000</v>
      </c>
      <c r="H5" s="63">
        <v>5999500</v>
      </c>
      <c r="I5" s="62">
        <f t="shared" si="4"/>
        <v>168000</v>
      </c>
      <c r="J5" s="62"/>
      <c r="K5" s="62"/>
      <c r="L5" s="62"/>
      <c r="M5" s="62">
        <f t="shared" si="1"/>
        <v>3320000</v>
      </c>
      <c r="N5" s="63">
        <v>996000</v>
      </c>
      <c r="O5" s="62">
        <f t="shared" si="2"/>
        <v>2324000</v>
      </c>
      <c r="P5" s="62">
        <f>780000+780000</f>
        <v>1560000</v>
      </c>
      <c r="Q5" s="62">
        <f t="shared" ref="Q5:Q21" si="5">P5*18/100</f>
        <v>280800</v>
      </c>
    </row>
    <row r="6" spans="1:17" x14ac:dyDescent="0.25">
      <c r="A6" s="57">
        <v>5</v>
      </c>
      <c r="B6" s="60" t="s">
        <v>144</v>
      </c>
      <c r="C6" s="60">
        <v>134</v>
      </c>
      <c r="D6" s="57" t="s">
        <v>142</v>
      </c>
      <c r="E6" s="61">
        <v>8700000</v>
      </c>
      <c r="F6" s="62">
        <f t="shared" si="0"/>
        <v>5220000</v>
      </c>
      <c r="G6" s="63">
        <v>4720000</v>
      </c>
      <c r="H6" s="63">
        <v>7052480</v>
      </c>
      <c r="I6" s="62">
        <f t="shared" si="4"/>
        <v>500000</v>
      </c>
      <c r="J6" s="62"/>
      <c r="K6" s="62"/>
      <c r="L6" s="62"/>
      <c r="M6" s="62">
        <f t="shared" si="1"/>
        <v>3480000</v>
      </c>
      <c r="N6" s="63">
        <v>1392000</v>
      </c>
      <c r="O6" s="62">
        <f t="shared" si="2"/>
        <v>2088000</v>
      </c>
      <c r="P6" s="62">
        <f>820000+820000</f>
        <v>1640000</v>
      </c>
      <c r="Q6" s="62">
        <f t="shared" si="5"/>
        <v>295200</v>
      </c>
    </row>
    <row r="7" spans="1:17" x14ac:dyDescent="0.25">
      <c r="A7" s="57">
        <v>6</v>
      </c>
      <c r="B7" s="60" t="s">
        <v>144</v>
      </c>
      <c r="C7" s="60">
        <v>136</v>
      </c>
      <c r="D7" s="57" t="s">
        <v>145</v>
      </c>
      <c r="E7" s="61">
        <v>0</v>
      </c>
      <c r="F7" s="62">
        <f t="shared" si="0"/>
        <v>0</v>
      </c>
      <c r="G7" s="63"/>
      <c r="H7" s="63"/>
      <c r="I7" s="62">
        <f t="shared" si="4"/>
        <v>0</v>
      </c>
      <c r="J7" s="62"/>
      <c r="K7" s="62"/>
      <c r="L7" s="62"/>
      <c r="M7" s="62">
        <f t="shared" si="1"/>
        <v>0</v>
      </c>
      <c r="N7" s="63">
        <v>0</v>
      </c>
      <c r="O7" s="62">
        <f t="shared" si="2"/>
        <v>0</v>
      </c>
      <c r="P7" s="62"/>
      <c r="Q7" s="62">
        <f t="shared" si="5"/>
        <v>0</v>
      </c>
    </row>
    <row r="8" spans="1:17" x14ac:dyDescent="0.25">
      <c r="A8" s="57">
        <v>7</v>
      </c>
      <c r="B8" s="60" t="s">
        <v>146</v>
      </c>
      <c r="C8" s="60">
        <v>115</v>
      </c>
      <c r="D8" s="57" t="s">
        <v>142</v>
      </c>
      <c r="E8" s="61">
        <v>9110000</v>
      </c>
      <c r="F8" s="62">
        <f t="shared" si="0"/>
        <v>5466000</v>
      </c>
      <c r="G8" s="63">
        <v>5331000</v>
      </c>
      <c r="H8" s="63">
        <v>7517000</v>
      </c>
      <c r="I8" s="62">
        <f t="shared" si="4"/>
        <v>135000</v>
      </c>
      <c r="J8" s="62"/>
      <c r="K8" s="62"/>
      <c r="L8" s="62"/>
      <c r="M8" s="62">
        <f t="shared" si="1"/>
        <v>3644000</v>
      </c>
      <c r="N8" s="63">
        <v>1093000</v>
      </c>
      <c r="O8" s="62">
        <f t="shared" si="2"/>
        <v>2551000</v>
      </c>
      <c r="P8" s="62">
        <f>861000+861000</f>
        <v>1722000</v>
      </c>
      <c r="Q8" s="62">
        <f t="shared" si="5"/>
        <v>309960</v>
      </c>
    </row>
    <row r="9" spans="1:17" x14ac:dyDescent="0.25">
      <c r="A9" s="57">
        <v>8</v>
      </c>
      <c r="B9" s="60" t="s">
        <v>146</v>
      </c>
      <c r="C9" s="60">
        <v>121</v>
      </c>
      <c r="D9" s="57" t="s">
        <v>142</v>
      </c>
      <c r="E9" s="61">
        <v>9100000</v>
      </c>
      <c r="F9" s="62">
        <f t="shared" si="0"/>
        <v>5460000</v>
      </c>
      <c r="G9" s="63">
        <v>5324000</v>
      </c>
      <c r="H9" s="63">
        <v>7508000</v>
      </c>
      <c r="I9" s="62">
        <f t="shared" si="4"/>
        <v>136000</v>
      </c>
      <c r="J9" s="62"/>
      <c r="K9" s="62"/>
      <c r="L9" s="62"/>
      <c r="M9" s="62">
        <f t="shared" si="1"/>
        <v>3640000</v>
      </c>
      <c r="N9" s="63">
        <v>0</v>
      </c>
      <c r="O9" s="62">
        <f t="shared" si="2"/>
        <v>3640000</v>
      </c>
      <c r="P9" s="62">
        <f>860000+860000</f>
        <v>1720000</v>
      </c>
      <c r="Q9" s="62">
        <f t="shared" si="5"/>
        <v>309600</v>
      </c>
    </row>
    <row r="10" spans="1:17" x14ac:dyDescent="0.25">
      <c r="A10" s="57">
        <v>9</v>
      </c>
      <c r="B10" s="60" t="s">
        <v>146</v>
      </c>
      <c r="C10" s="60">
        <v>123</v>
      </c>
      <c r="D10" s="57" t="s">
        <v>142</v>
      </c>
      <c r="E10" s="61">
        <v>8850000</v>
      </c>
      <c r="F10" s="62">
        <f t="shared" si="0"/>
        <v>5310000</v>
      </c>
      <c r="G10" s="63">
        <v>5164000</v>
      </c>
      <c r="H10" s="63">
        <v>8438000</v>
      </c>
      <c r="I10" s="62">
        <f t="shared" si="4"/>
        <v>146000</v>
      </c>
      <c r="J10" s="62"/>
      <c r="K10" s="62"/>
      <c r="L10" s="62"/>
      <c r="M10" s="62">
        <f t="shared" si="1"/>
        <v>3540000</v>
      </c>
      <c r="N10" s="63">
        <v>1062000</v>
      </c>
      <c r="O10" s="62">
        <f t="shared" si="2"/>
        <v>2478000</v>
      </c>
      <c r="P10" s="62">
        <f>761100+761100+73900</f>
        <v>1596100</v>
      </c>
      <c r="Q10" s="62">
        <f t="shared" si="5"/>
        <v>287298</v>
      </c>
    </row>
    <row r="11" spans="1:17" x14ac:dyDescent="0.25">
      <c r="A11" s="57">
        <v>10</v>
      </c>
      <c r="B11" s="60" t="s">
        <v>147</v>
      </c>
      <c r="C11" s="60">
        <v>113</v>
      </c>
      <c r="D11" s="57" t="s">
        <v>142</v>
      </c>
      <c r="E11" s="61">
        <v>9100000</v>
      </c>
      <c r="F11" s="62">
        <f t="shared" si="0"/>
        <v>5460000</v>
      </c>
      <c r="G11" s="63">
        <v>425000</v>
      </c>
      <c r="H11" s="63">
        <v>1225000</v>
      </c>
      <c r="I11" s="62">
        <f t="shared" si="4"/>
        <v>5035000</v>
      </c>
      <c r="J11" s="62"/>
      <c r="K11" s="62"/>
      <c r="L11" s="62"/>
      <c r="M11" s="62">
        <f t="shared" si="1"/>
        <v>3640000</v>
      </c>
      <c r="N11" s="63">
        <v>0</v>
      </c>
      <c r="O11" s="62">
        <f t="shared" si="2"/>
        <v>3640000</v>
      </c>
      <c r="P11" s="62">
        <f>1140000+1140000</f>
        <v>2280000</v>
      </c>
      <c r="Q11" s="62">
        <f t="shared" si="5"/>
        <v>410400</v>
      </c>
    </row>
    <row r="12" spans="1:17" x14ac:dyDescent="0.25">
      <c r="A12" s="57">
        <v>11</v>
      </c>
      <c r="B12" s="60" t="s">
        <v>148</v>
      </c>
      <c r="C12" s="60">
        <v>127</v>
      </c>
      <c r="D12" s="57" t="s">
        <v>142</v>
      </c>
      <c r="E12" s="61">
        <v>8200000</v>
      </c>
      <c r="F12" s="62">
        <f t="shared" si="0"/>
        <v>4920000</v>
      </c>
      <c r="G12" s="63">
        <v>4748000</v>
      </c>
      <c r="H12" s="63">
        <v>6716000</v>
      </c>
      <c r="I12" s="62">
        <f t="shared" si="4"/>
        <v>172000</v>
      </c>
      <c r="J12" s="62"/>
      <c r="K12" s="62"/>
      <c r="L12" s="62"/>
      <c r="M12" s="62">
        <f t="shared" si="1"/>
        <v>3280000</v>
      </c>
      <c r="N12" s="63">
        <f>200000+784000</f>
        <v>984000</v>
      </c>
      <c r="O12" s="62">
        <f t="shared" si="2"/>
        <v>2296000</v>
      </c>
      <c r="P12" s="62">
        <f>770000+770000</f>
        <v>1540000</v>
      </c>
      <c r="Q12" s="62">
        <f t="shared" si="5"/>
        <v>277200</v>
      </c>
    </row>
    <row r="13" spans="1:17" x14ac:dyDescent="0.25">
      <c r="A13" s="57">
        <v>12</v>
      </c>
      <c r="B13" s="60" t="s">
        <v>148</v>
      </c>
      <c r="C13" s="60">
        <v>130</v>
      </c>
      <c r="D13" s="57" t="s">
        <v>142</v>
      </c>
      <c r="E13" s="61">
        <v>8300000</v>
      </c>
      <c r="F13" s="62">
        <f t="shared" si="0"/>
        <v>4980000</v>
      </c>
      <c r="G13" s="63">
        <v>4787000</v>
      </c>
      <c r="H13" s="63">
        <v>8697600</v>
      </c>
      <c r="I13" s="62">
        <f t="shared" si="4"/>
        <v>193000</v>
      </c>
      <c r="J13" s="62"/>
      <c r="K13" s="62"/>
      <c r="L13" s="62"/>
      <c r="M13" s="62">
        <f t="shared" si="1"/>
        <v>3320000</v>
      </c>
      <c r="N13" s="63">
        <v>1992000</v>
      </c>
      <c r="O13" s="62">
        <f t="shared" si="2"/>
        <v>1328000</v>
      </c>
      <c r="P13" s="62">
        <v>2340000</v>
      </c>
      <c r="Q13" s="62">
        <f t="shared" si="5"/>
        <v>421200</v>
      </c>
    </row>
    <row r="14" spans="1:17" x14ac:dyDescent="0.25">
      <c r="A14" s="57">
        <v>13</v>
      </c>
      <c r="B14" s="60" t="s">
        <v>148</v>
      </c>
      <c r="C14" s="60">
        <v>132</v>
      </c>
      <c r="D14" s="57" t="s">
        <v>142</v>
      </c>
      <c r="E14" s="61">
        <v>8300000</v>
      </c>
      <c r="F14" s="62">
        <f t="shared" si="0"/>
        <v>4980000</v>
      </c>
      <c r="G14" s="63">
        <v>4812000</v>
      </c>
      <c r="H14" s="63">
        <v>8820095</v>
      </c>
      <c r="I14" s="62">
        <f t="shared" si="4"/>
        <v>168000</v>
      </c>
      <c r="J14" s="62"/>
      <c r="K14" s="62"/>
      <c r="L14" s="62"/>
      <c r="M14" s="62">
        <f t="shared" si="1"/>
        <v>3320000</v>
      </c>
      <c r="N14" s="63">
        <v>996000</v>
      </c>
      <c r="O14" s="62">
        <f t="shared" si="2"/>
        <v>2324000</v>
      </c>
      <c r="P14" s="62">
        <f>780000+780000</f>
        <v>1560000</v>
      </c>
      <c r="Q14" s="62">
        <f t="shared" si="5"/>
        <v>280800</v>
      </c>
    </row>
    <row r="15" spans="1:17" x14ac:dyDescent="0.25">
      <c r="A15" s="57">
        <v>14</v>
      </c>
      <c r="B15" s="60" t="s">
        <v>149</v>
      </c>
      <c r="C15" s="60">
        <v>107</v>
      </c>
      <c r="D15" s="57" t="s">
        <v>142</v>
      </c>
      <c r="E15" s="61">
        <v>7800000</v>
      </c>
      <c r="F15" s="62">
        <f t="shared" si="0"/>
        <v>4680000</v>
      </c>
      <c r="G15" s="63">
        <v>4492000</v>
      </c>
      <c r="H15" s="63">
        <v>5999500</v>
      </c>
      <c r="I15" s="62">
        <f t="shared" si="4"/>
        <v>188000</v>
      </c>
      <c r="J15" s="62"/>
      <c r="K15" s="62"/>
      <c r="L15" s="62"/>
      <c r="M15" s="62">
        <f t="shared" si="1"/>
        <v>3120000</v>
      </c>
      <c r="N15" s="63">
        <v>936000</v>
      </c>
      <c r="O15" s="62">
        <f t="shared" si="2"/>
        <v>2184000</v>
      </c>
      <c r="P15" s="62">
        <f>730000+730000+730000</f>
        <v>2190000</v>
      </c>
      <c r="Q15" s="62">
        <f t="shared" si="5"/>
        <v>394200</v>
      </c>
    </row>
    <row r="16" spans="1:17" x14ac:dyDescent="0.25">
      <c r="A16" s="57">
        <v>15</v>
      </c>
      <c r="B16" s="60" t="s">
        <v>149</v>
      </c>
      <c r="C16" s="60">
        <v>109</v>
      </c>
      <c r="D16" s="57" t="s">
        <v>142</v>
      </c>
      <c r="E16" s="61">
        <v>8500000</v>
      </c>
      <c r="F16" s="62">
        <f t="shared" si="0"/>
        <v>5100000</v>
      </c>
      <c r="G16" s="63">
        <v>4940000</v>
      </c>
      <c r="H16" s="63">
        <v>6980000</v>
      </c>
      <c r="I16" s="62">
        <f t="shared" si="4"/>
        <v>160000</v>
      </c>
      <c r="J16" s="62"/>
      <c r="K16" s="62"/>
      <c r="L16" s="62"/>
      <c r="M16" s="62">
        <f t="shared" si="1"/>
        <v>3400000</v>
      </c>
      <c r="N16" s="63">
        <v>1020000</v>
      </c>
      <c r="O16" s="62">
        <f t="shared" si="2"/>
        <v>2380000</v>
      </c>
      <c r="P16" s="62">
        <v>1600000</v>
      </c>
      <c r="Q16" s="62">
        <f t="shared" si="5"/>
        <v>288000</v>
      </c>
    </row>
    <row r="17" spans="1:17" x14ac:dyDescent="0.25">
      <c r="A17" s="57">
        <v>16</v>
      </c>
      <c r="B17" s="60" t="s">
        <v>149</v>
      </c>
      <c r="C17" s="60">
        <v>111</v>
      </c>
      <c r="D17" s="57" t="s">
        <v>142</v>
      </c>
      <c r="E17" s="61">
        <v>8800000</v>
      </c>
      <c r="F17" s="62">
        <f t="shared" si="0"/>
        <v>5280000</v>
      </c>
      <c r="G17" s="63">
        <v>6188000</v>
      </c>
      <c r="H17" s="63">
        <v>7244000</v>
      </c>
      <c r="I17" s="62">
        <f t="shared" si="4"/>
        <v>-908000</v>
      </c>
      <c r="J17" s="62"/>
      <c r="K17" s="62"/>
      <c r="L17" s="62"/>
      <c r="M17" s="62">
        <f t="shared" si="1"/>
        <v>3520000</v>
      </c>
      <c r="N17" s="63">
        <v>0</v>
      </c>
      <c r="O17" s="62">
        <f t="shared" si="2"/>
        <v>3520000</v>
      </c>
      <c r="P17" s="62">
        <f>830000+830000</f>
        <v>1660000</v>
      </c>
      <c r="Q17" s="62">
        <f t="shared" si="5"/>
        <v>298800</v>
      </c>
    </row>
    <row r="18" spans="1:17" x14ac:dyDescent="0.25">
      <c r="A18" s="57">
        <v>17</v>
      </c>
      <c r="B18" s="60" t="s">
        <v>150</v>
      </c>
      <c r="C18" s="60">
        <v>119</v>
      </c>
      <c r="D18" s="57" t="s">
        <v>142</v>
      </c>
      <c r="E18" s="61">
        <v>9925000</v>
      </c>
      <c r="F18" s="62">
        <f t="shared" si="0"/>
        <v>5955000</v>
      </c>
      <c r="G18" s="63">
        <v>1225000</v>
      </c>
      <c r="H18" s="63">
        <v>4000000</v>
      </c>
      <c r="I18" s="62">
        <f t="shared" si="4"/>
        <v>4730000</v>
      </c>
      <c r="J18" s="62"/>
      <c r="K18" s="62"/>
      <c r="L18" s="62"/>
      <c r="M18" s="62">
        <f t="shared" si="1"/>
        <v>3970000</v>
      </c>
      <c r="N18" s="63">
        <v>0</v>
      </c>
      <c r="O18" s="62">
        <f t="shared" si="2"/>
        <v>3970000</v>
      </c>
      <c r="P18" s="62"/>
      <c r="Q18" s="62">
        <f t="shared" si="5"/>
        <v>0</v>
      </c>
    </row>
    <row r="19" spans="1:17" x14ac:dyDescent="0.25">
      <c r="A19" s="57">
        <v>18</v>
      </c>
      <c r="B19" s="60" t="s">
        <v>151</v>
      </c>
      <c r="C19" s="60">
        <v>125</v>
      </c>
      <c r="D19" s="57" t="s">
        <v>142</v>
      </c>
      <c r="E19" s="61">
        <v>8850000</v>
      </c>
      <c r="F19" s="62">
        <f t="shared" si="0"/>
        <v>5310000</v>
      </c>
      <c r="G19" s="63">
        <v>5164000</v>
      </c>
      <c r="H19" s="63">
        <v>8438000</v>
      </c>
      <c r="I19" s="62">
        <f t="shared" si="4"/>
        <v>146000</v>
      </c>
      <c r="J19" s="62"/>
      <c r="K19" s="62"/>
      <c r="L19" s="62"/>
      <c r="M19" s="62">
        <f t="shared" si="1"/>
        <v>3540000</v>
      </c>
      <c r="N19" s="63">
        <v>1062000</v>
      </c>
      <c r="O19" s="62">
        <f t="shared" si="2"/>
        <v>2478000</v>
      </c>
      <c r="P19" s="62">
        <f>835000+835000+835000</f>
        <v>2505000</v>
      </c>
      <c r="Q19" s="62">
        <f t="shared" si="5"/>
        <v>450900</v>
      </c>
    </row>
    <row r="20" spans="1:17" x14ac:dyDescent="0.25">
      <c r="A20" s="57">
        <v>19</v>
      </c>
      <c r="B20" s="60" t="s">
        <v>152</v>
      </c>
      <c r="C20" s="60">
        <v>140</v>
      </c>
      <c r="D20" s="57" t="s">
        <v>142</v>
      </c>
      <c r="E20" s="61">
        <v>10850000</v>
      </c>
      <c r="F20" s="62">
        <f t="shared" si="0"/>
        <v>6510000</v>
      </c>
      <c r="G20" s="63">
        <v>1225000</v>
      </c>
      <c r="H20" s="63"/>
      <c r="I20" s="62">
        <f t="shared" si="4"/>
        <v>5285000</v>
      </c>
      <c r="J20" s="62"/>
      <c r="K20" s="62"/>
      <c r="L20" s="62"/>
      <c r="M20" s="62">
        <f t="shared" si="1"/>
        <v>4340000</v>
      </c>
      <c r="N20" s="63">
        <v>0</v>
      </c>
      <c r="O20" s="62">
        <f t="shared" si="2"/>
        <v>4340000</v>
      </c>
      <c r="P20" s="62"/>
      <c r="Q20" s="62">
        <f t="shared" si="5"/>
        <v>0</v>
      </c>
    </row>
    <row r="21" spans="1:17" x14ac:dyDescent="0.25">
      <c r="A21" s="57">
        <v>20</v>
      </c>
      <c r="B21" s="60" t="s">
        <v>153</v>
      </c>
      <c r="C21" s="60">
        <v>138</v>
      </c>
      <c r="D21" s="57" t="s">
        <v>142</v>
      </c>
      <c r="E21" s="61">
        <v>9000000</v>
      </c>
      <c r="F21" s="62">
        <f t="shared" si="0"/>
        <v>5400000</v>
      </c>
      <c r="G21" s="63">
        <v>5900000</v>
      </c>
      <c r="H21" s="63">
        <v>7448000</v>
      </c>
      <c r="I21" s="62">
        <f t="shared" si="4"/>
        <v>-500000</v>
      </c>
      <c r="J21" s="62"/>
      <c r="K21" s="62"/>
      <c r="L21" s="62"/>
      <c r="M21" s="62">
        <f t="shared" si="1"/>
        <v>3600000</v>
      </c>
      <c r="N21" s="63">
        <v>1440000</v>
      </c>
      <c r="O21" s="62">
        <f t="shared" si="2"/>
        <v>2160000</v>
      </c>
      <c r="P21" s="62">
        <f>850000+850000</f>
        <v>1700000</v>
      </c>
      <c r="Q21" s="62">
        <f t="shared" si="5"/>
        <v>306000</v>
      </c>
    </row>
    <row r="22" spans="1:17" x14ac:dyDescent="0.25">
      <c r="A22" s="57"/>
      <c r="B22" s="57"/>
      <c r="C22" s="57"/>
      <c r="D22" s="57"/>
      <c r="E22" s="63">
        <f>SUM(E2:E21)</f>
        <v>165505000</v>
      </c>
      <c r="F22" s="63">
        <f t="shared" ref="F22:Q22" si="6">SUM(F2:F21)</f>
        <v>99303000</v>
      </c>
      <c r="G22" s="63">
        <f t="shared" si="6"/>
        <v>84717640</v>
      </c>
      <c r="H22" s="63"/>
      <c r="I22" s="63">
        <f t="shared" si="6"/>
        <v>14585360</v>
      </c>
      <c r="J22" s="63">
        <f t="shared" si="6"/>
        <v>0</v>
      </c>
      <c r="K22" s="63">
        <f t="shared" si="6"/>
        <v>0</v>
      </c>
      <c r="L22" s="63">
        <f t="shared" si="6"/>
        <v>0</v>
      </c>
      <c r="M22" s="63">
        <f t="shared" si="6"/>
        <v>66202000</v>
      </c>
      <c r="N22" s="63">
        <f t="shared" si="6"/>
        <v>15410000</v>
      </c>
      <c r="O22" s="63">
        <f t="shared" si="6"/>
        <v>50792000</v>
      </c>
      <c r="P22" s="63">
        <f t="shared" si="6"/>
        <v>32759100</v>
      </c>
      <c r="Q22" s="63">
        <f t="shared" si="6"/>
        <v>5896638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0A4C0-0267-4AEA-8801-3D0C1F21401E}">
  <dimension ref="A1:I22"/>
  <sheetViews>
    <sheetView topLeftCell="A10" workbookViewId="0">
      <selection activeCell="I3" sqref="I3"/>
    </sheetView>
  </sheetViews>
  <sheetFormatPr defaultRowHeight="15" x14ac:dyDescent="0.25"/>
  <cols>
    <col min="2" max="2" width="21.85546875" customWidth="1"/>
    <col min="5" max="5" width="14.28515625" customWidth="1"/>
    <col min="6" max="6" width="13.28515625" bestFit="1" customWidth="1"/>
    <col min="7" max="8" width="12.140625" bestFit="1" customWidth="1"/>
    <col min="9" max="9" width="10.5703125" bestFit="1" customWidth="1"/>
  </cols>
  <sheetData>
    <row r="1" spans="1:9" ht="51.75" x14ac:dyDescent="0.25">
      <c r="A1" s="57" t="s">
        <v>131</v>
      </c>
      <c r="B1" s="56" t="s">
        <v>132</v>
      </c>
      <c r="C1" s="56" t="s">
        <v>133</v>
      </c>
      <c r="D1" s="56" t="s">
        <v>134</v>
      </c>
      <c r="E1" s="58" t="s">
        <v>135</v>
      </c>
      <c r="F1" s="80" t="s">
        <v>156</v>
      </c>
      <c r="G1" s="56" t="s">
        <v>138</v>
      </c>
      <c r="H1" s="78" t="s">
        <v>154</v>
      </c>
      <c r="I1" s="78" t="s">
        <v>155</v>
      </c>
    </row>
    <row r="2" spans="1:9" x14ac:dyDescent="0.25">
      <c r="A2" s="57">
        <v>1</v>
      </c>
      <c r="B2" s="60" t="s">
        <v>141</v>
      </c>
      <c r="C2" s="60">
        <v>101</v>
      </c>
      <c r="D2" s="57" t="s">
        <v>142</v>
      </c>
      <c r="E2" s="61">
        <v>8420000</v>
      </c>
      <c r="F2" s="63">
        <v>8826240</v>
      </c>
      <c r="G2" s="63">
        <f>E2-F2</f>
        <v>-406240</v>
      </c>
      <c r="H2" s="62">
        <f>792000+792000+792000</f>
        <v>2376000</v>
      </c>
      <c r="I2" s="62">
        <f t="shared" ref="I2:I3" si="0">H2*18/100</f>
        <v>427680</v>
      </c>
    </row>
    <row r="3" spans="1:9" x14ac:dyDescent="0.25">
      <c r="A3" s="57">
        <v>2</v>
      </c>
      <c r="B3" s="60" t="s">
        <v>141</v>
      </c>
      <c r="C3" s="60">
        <v>103</v>
      </c>
      <c r="D3" s="57" t="s">
        <v>142</v>
      </c>
      <c r="E3" s="61">
        <v>8300000</v>
      </c>
      <c r="F3" s="63">
        <v>6804000</v>
      </c>
      <c r="G3" s="63">
        <f t="shared" ref="G3:G21" si="1">E3-F3</f>
        <v>1496000</v>
      </c>
      <c r="H3" s="62">
        <f>780000+780000+780000</f>
        <v>2340000</v>
      </c>
      <c r="I3" s="62">
        <f t="shared" si="0"/>
        <v>421200</v>
      </c>
    </row>
    <row r="4" spans="1:9" x14ac:dyDescent="0.25">
      <c r="A4" s="57">
        <v>3</v>
      </c>
      <c r="B4" s="60" t="s">
        <v>141</v>
      </c>
      <c r="C4" s="60">
        <v>105</v>
      </c>
      <c r="D4" s="57" t="s">
        <v>142</v>
      </c>
      <c r="E4" s="61">
        <v>7100000</v>
      </c>
      <c r="F4" s="63">
        <v>5750000</v>
      </c>
      <c r="G4" s="63">
        <f t="shared" si="1"/>
        <v>1350000</v>
      </c>
      <c r="H4" s="62">
        <f>810000+810000+810000</f>
        <v>2430000</v>
      </c>
      <c r="I4" s="62">
        <f>H4*18/100</f>
        <v>437400</v>
      </c>
    </row>
    <row r="5" spans="1:9" x14ac:dyDescent="0.25">
      <c r="A5" s="57">
        <v>4</v>
      </c>
      <c r="B5" s="60" t="s">
        <v>143</v>
      </c>
      <c r="C5" s="60">
        <v>117</v>
      </c>
      <c r="D5" s="57" t="s">
        <v>142</v>
      </c>
      <c r="E5" s="61">
        <v>8300000</v>
      </c>
      <c r="F5" s="63">
        <v>5999500</v>
      </c>
      <c r="G5" s="63">
        <f t="shared" si="1"/>
        <v>2300500</v>
      </c>
      <c r="H5" s="62">
        <f>780000+780000</f>
        <v>1560000</v>
      </c>
      <c r="I5" s="62">
        <f t="shared" ref="I5:I21" si="2">H5*18/100</f>
        <v>280800</v>
      </c>
    </row>
    <row r="6" spans="1:9" x14ac:dyDescent="0.25">
      <c r="A6" s="57">
        <v>5</v>
      </c>
      <c r="B6" s="60" t="s">
        <v>144</v>
      </c>
      <c r="C6" s="60">
        <v>134</v>
      </c>
      <c r="D6" s="57" t="s">
        <v>142</v>
      </c>
      <c r="E6" s="61">
        <v>8700000</v>
      </c>
      <c r="F6" s="63">
        <v>7052480</v>
      </c>
      <c r="G6" s="63">
        <f t="shared" si="1"/>
        <v>1647520</v>
      </c>
      <c r="H6" s="62">
        <f>820000+820000</f>
        <v>1640000</v>
      </c>
      <c r="I6" s="62">
        <f t="shared" si="2"/>
        <v>295200</v>
      </c>
    </row>
    <row r="7" spans="1:9" x14ac:dyDescent="0.25">
      <c r="A7" s="57">
        <v>6</v>
      </c>
      <c r="B7" s="60" t="s">
        <v>144</v>
      </c>
      <c r="C7" s="60">
        <v>136</v>
      </c>
      <c r="D7" s="57" t="s">
        <v>145</v>
      </c>
      <c r="E7" s="61">
        <v>0</v>
      </c>
      <c r="F7" s="63"/>
      <c r="G7" s="63">
        <f t="shared" si="1"/>
        <v>0</v>
      </c>
      <c r="H7" s="62"/>
      <c r="I7" s="62">
        <f t="shared" si="2"/>
        <v>0</v>
      </c>
    </row>
    <row r="8" spans="1:9" x14ac:dyDescent="0.25">
      <c r="A8" s="57">
        <v>7</v>
      </c>
      <c r="B8" s="60" t="s">
        <v>146</v>
      </c>
      <c r="C8" s="60">
        <v>115</v>
      </c>
      <c r="D8" s="57" t="s">
        <v>142</v>
      </c>
      <c r="E8" s="61">
        <v>9110000</v>
      </c>
      <c r="F8" s="63">
        <v>7517000</v>
      </c>
      <c r="G8" s="63">
        <f t="shared" si="1"/>
        <v>1593000</v>
      </c>
      <c r="H8" s="62">
        <f>861000+861000</f>
        <v>1722000</v>
      </c>
      <c r="I8" s="62">
        <f t="shared" si="2"/>
        <v>309960</v>
      </c>
    </row>
    <row r="9" spans="1:9" x14ac:dyDescent="0.25">
      <c r="A9" s="57">
        <v>8</v>
      </c>
      <c r="B9" s="60" t="s">
        <v>146</v>
      </c>
      <c r="C9" s="60">
        <v>121</v>
      </c>
      <c r="D9" s="57" t="s">
        <v>142</v>
      </c>
      <c r="E9" s="61">
        <v>9100000</v>
      </c>
      <c r="F9" s="63">
        <v>7508000</v>
      </c>
      <c r="G9" s="63">
        <f t="shared" si="1"/>
        <v>1592000</v>
      </c>
      <c r="H9" s="62">
        <f>860000+860000</f>
        <v>1720000</v>
      </c>
      <c r="I9" s="62">
        <f t="shared" si="2"/>
        <v>309600</v>
      </c>
    </row>
    <row r="10" spans="1:9" x14ac:dyDescent="0.25">
      <c r="A10" s="57">
        <v>9</v>
      </c>
      <c r="B10" s="60" t="s">
        <v>146</v>
      </c>
      <c r="C10" s="60">
        <v>123</v>
      </c>
      <c r="D10" s="57" t="s">
        <v>142</v>
      </c>
      <c r="E10" s="61">
        <v>8850000</v>
      </c>
      <c r="F10" s="63">
        <v>8438000</v>
      </c>
      <c r="G10" s="63">
        <f t="shared" si="1"/>
        <v>412000</v>
      </c>
      <c r="H10" s="62">
        <f>761100+761100+73900</f>
        <v>1596100</v>
      </c>
      <c r="I10" s="62">
        <f t="shared" si="2"/>
        <v>287298</v>
      </c>
    </row>
    <row r="11" spans="1:9" x14ac:dyDescent="0.25">
      <c r="A11" s="57">
        <v>10</v>
      </c>
      <c r="B11" s="60" t="s">
        <v>147</v>
      </c>
      <c r="C11" s="60">
        <v>113</v>
      </c>
      <c r="D11" s="57" t="s">
        <v>142</v>
      </c>
      <c r="E11" s="61">
        <v>9100000</v>
      </c>
      <c r="F11" s="63">
        <v>1225000</v>
      </c>
      <c r="G11" s="63">
        <f t="shared" si="1"/>
        <v>7875000</v>
      </c>
      <c r="H11" s="62">
        <f>1140000+1140000</f>
        <v>2280000</v>
      </c>
      <c r="I11" s="62">
        <f t="shared" si="2"/>
        <v>410400</v>
      </c>
    </row>
    <row r="12" spans="1:9" x14ac:dyDescent="0.25">
      <c r="A12" s="57">
        <v>11</v>
      </c>
      <c r="B12" s="60" t="s">
        <v>148</v>
      </c>
      <c r="C12" s="60">
        <v>127</v>
      </c>
      <c r="D12" s="57" t="s">
        <v>142</v>
      </c>
      <c r="E12" s="61">
        <v>8200000</v>
      </c>
      <c r="F12" s="63">
        <v>6716000</v>
      </c>
      <c r="G12" s="63">
        <f t="shared" si="1"/>
        <v>1484000</v>
      </c>
      <c r="H12" s="62">
        <f>770000+770000</f>
        <v>1540000</v>
      </c>
      <c r="I12" s="62">
        <f t="shared" si="2"/>
        <v>277200</v>
      </c>
    </row>
    <row r="13" spans="1:9" x14ac:dyDescent="0.25">
      <c r="A13" s="57">
        <v>12</v>
      </c>
      <c r="B13" s="60" t="s">
        <v>148</v>
      </c>
      <c r="C13" s="60">
        <v>130</v>
      </c>
      <c r="D13" s="57" t="s">
        <v>142</v>
      </c>
      <c r="E13" s="61">
        <v>8300000</v>
      </c>
      <c r="F13" s="63">
        <v>8697600</v>
      </c>
      <c r="G13" s="63">
        <f t="shared" si="1"/>
        <v>-397600</v>
      </c>
      <c r="H13" s="62">
        <v>2340000</v>
      </c>
      <c r="I13" s="62">
        <f t="shared" si="2"/>
        <v>421200</v>
      </c>
    </row>
    <row r="14" spans="1:9" x14ac:dyDescent="0.25">
      <c r="A14" s="57">
        <v>13</v>
      </c>
      <c r="B14" s="60" t="s">
        <v>148</v>
      </c>
      <c r="C14" s="60">
        <v>132</v>
      </c>
      <c r="D14" s="57" t="s">
        <v>142</v>
      </c>
      <c r="E14" s="61">
        <v>8300000</v>
      </c>
      <c r="F14" s="63">
        <v>8820095</v>
      </c>
      <c r="G14" s="63">
        <f t="shared" si="1"/>
        <v>-520095</v>
      </c>
      <c r="H14" s="62">
        <f>780000+780000</f>
        <v>1560000</v>
      </c>
      <c r="I14" s="62">
        <f t="shared" si="2"/>
        <v>280800</v>
      </c>
    </row>
    <row r="15" spans="1:9" x14ac:dyDescent="0.25">
      <c r="A15" s="57">
        <v>14</v>
      </c>
      <c r="B15" s="60" t="s">
        <v>149</v>
      </c>
      <c r="C15" s="60">
        <v>107</v>
      </c>
      <c r="D15" s="57" t="s">
        <v>142</v>
      </c>
      <c r="E15" s="61">
        <v>7800000</v>
      </c>
      <c r="F15" s="63">
        <v>5999500</v>
      </c>
      <c r="G15" s="63">
        <f t="shared" si="1"/>
        <v>1800500</v>
      </c>
      <c r="H15" s="62">
        <f>730000+730000+730000</f>
        <v>2190000</v>
      </c>
      <c r="I15" s="62">
        <f t="shared" si="2"/>
        <v>394200</v>
      </c>
    </row>
    <row r="16" spans="1:9" x14ac:dyDescent="0.25">
      <c r="A16" s="57">
        <v>15</v>
      </c>
      <c r="B16" s="60" t="s">
        <v>149</v>
      </c>
      <c r="C16" s="60">
        <v>109</v>
      </c>
      <c r="D16" s="57" t="s">
        <v>142</v>
      </c>
      <c r="E16" s="61">
        <v>8500000</v>
      </c>
      <c r="F16" s="63">
        <v>6980000</v>
      </c>
      <c r="G16" s="63">
        <f t="shared" si="1"/>
        <v>1520000</v>
      </c>
      <c r="H16" s="62">
        <v>1600000</v>
      </c>
      <c r="I16" s="62">
        <f t="shared" si="2"/>
        <v>288000</v>
      </c>
    </row>
    <row r="17" spans="1:9" x14ac:dyDescent="0.25">
      <c r="A17" s="57">
        <v>16</v>
      </c>
      <c r="B17" s="60" t="s">
        <v>149</v>
      </c>
      <c r="C17" s="60">
        <v>111</v>
      </c>
      <c r="D17" s="57" t="s">
        <v>142</v>
      </c>
      <c r="E17" s="61">
        <v>8800000</v>
      </c>
      <c r="F17" s="63">
        <v>7244000</v>
      </c>
      <c r="G17" s="63">
        <f t="shared" si="1"/>
        <v>1556000</v>
      </c>
      <c r="H17" s="62">
        <f>830000+830000</f>
        <v>1660000</v>
      </c>
      <c r="I17" s="62">
        <f t="shared" si="2"/>
        <v>298800</v>
      </c>
    </row>
    <row r="18" spans="1:9" x14ac:dyDescent="0.25">
      <c r="A18" s="57">
        <v>17</v>
      </c>
      <c r="B18" s="60" t="s">
        <v>150</v>
      </c>
      <c r="C18" s="60">
        <v>119</v>
      </c>
      <c r="D18" s="57" t="s">
        <v>142</v>
      </c>
      <c r="E18" s="61">
        <v>9925000</v>
      </c>
      <c r="F18" s="63">
        <v>4000000</v>
      </c>
      <c r="G18" s="63">
        <f t="shared" si="1"/>
        <v>5925000</v>
      </c>
      <c r="H18" s="62"/>
      <c r="I18" s="62">
        <f t="shared" si="2"/>
        <v>0</v>
      </c>
    </row>
    <row r="19" spans="1:9" x14ac:dyDescent="0.25">
      <c r="A19" s="57">
        <v>18</v>
      </c>
      <c r="B19" s="60" t="s">
        <v>151</v>
      </c>
      <c r="C19" s="60">
        <v>125</v>
      </c>
      <c r="D19" s="57" t="s">
        <v>142</v>
      </c>
      <c r="E19" s="61">
        <v>8850000</v>
      </c>
      <c r="F19" s="63">
        <v>8438000</v>
      </c>
      <c r="G19" s="63">
        <f t="shared" si="1"/>
        <v>412000</v>
      </c>
      <c r="H19" s="62">
        <f>835000+835000+835000</f>
        <v>2505000</v>
      </c>
      <c r="I19" s="62">
        <f t="shared" si="2"/>
        <v>450900</v>
      </c>
    </row>
    <row r="20" spans="1:9" x14ac:dyDescent="0.25">
      <c r="A20" s="57">
        <v>19</v>
      </c>
      <c r="B20" s="60" t="s">
        <v>152</v>
      </c>
      <c r="C20" s="60">
        <v>140</v>
      </c>
      <c r="D20" s="57" t="s">
        <v>142</v>
      </c>
      <c r="E20" s="61">
        <v>10850000</v>
      </c>
      <c r="F20" s="63"/>
      <c r="G20" s="63">
        <f t="shared" si="1"/>
        <v>10850000</v>
      </c>
      <c r="H20" s="62"/>
      <c r="I20" s="62">
        <f t="shared" si="2"/>
        <v>0</v>
      </c>
    </row>
    <row r="21" spans="1:9" x14ac:dyDescent="0.25">
      <c r="A21" s="57">
        <v>20</v>
      </c>
      <c r="B21" s="60" t="s">
        <v>153</v>
      </c>
      <c r="C21" s="60">
        <v>138</v>
      </c>
      <c r="D21" s="57" t="s">
        <v>142</v>
      </c>
      <c r="E21" s="61">
        <v>9000000</v>
      </c>
      <c r="F21" s="63">
        <v>7448000</v>
      </c>
      <c r="G21" s="63">
        <f t="shared" si="1"/>
        <v>1552000</v>
      </c>
      <c r="H21" s="62">
        <f>850000+850000</f>
        <v>1700000</v>
      </c>
      <c r="I21" s="62">
        <f t="shared" si="2"/>
        <v>306000</v>
      </c>
    </row>
    <row r="22" spans="1:9" x14ac:dyDescent="0.25">
      <c r="D22" s="81" t="s">
        <v>44</v>
      </c>
      <c r="E22" s="82">
        <f>SUM(E2:E21)</f>
        <v>165505000</v>
      </c>
      <c r="F22" s="82">
        <f t="shared" ref="F22:I22" si="3">SUM(F2:F21)</f>
        <v>123463415</v>
      </c>
      <c r="G22" s="82">
        <f t="shared" si="3"/>
        <v>42041585</v>
      </c>
      <c r="H22" s="82">
        <f t="shared" si="3"/>
        <v>32759100</v>
      </c>
      <c r="I22" s="82">
        <f t="shared" si="3"/>
        <v>5896638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F74B2-ABB1-43F8-B8B1-437BE8AD949F}">
  <dimension ref="A1:U33"/>
  <sheetViews>
    <sheetView topLeftCell="B1" zoomScaleNormal="100" workbookViewId="0">
      <pane ySplit="4" topLeftCell="A5" activePane="bottomLeft" state="frozen"/>
      <selection pane="bottomLeft" activeCell="L5" sqref="L5"/>
    </sheetView>
  </sheetViews>
  <sheetFormatPr defaultRowHeight="15" x14ac:dyDescent="0.25"/>
  <cols>
    <col min="1" max="1" width="4.7109375" customWidth="1"/>
    <col min="2" max="3" width="6.28515625" customWidth="1"/>
    <col min="4" max="4" width="21.140625" customWidth="1"/>
    <col min="5" max="5" width="35.42578125" customWidth="1"/>
    <col min="6" max="6" width="12.42578125" customWidth="1"/>
    <col min="7" max="7" width="12.28515625" customWidth="1"/>
    <col min="8" max="8" width="13.140625" customWidth="1"/>
    <col min="9" max="9" width="12" customWidth="1"/>
    <col min="10" max="10" width="12.28515625" customWidth="1"/>
    <col min="11" max="11" width="12.85546875" customWidth="1"/>
    <col min="12" max="12" width="12" customWidth="1"/>
    <col min="13" max="14" width="12.42578125" customWidth="1"/>
    <col min="15" max="15" width="12.7109375" hidden="1" customWidth="1"/>
  </cols>
  <sheetData>
    <row r="1" spans="1:21" x14ac:dyDescent="0.25">
      <c r="A1" s="91"/>
      <c r="B1" s="91"/>
      <c r="C1" s="91"/>
      <c r="D1" s="92" t="s">
        <v>183</v>
      </c>
      <c r="E1" s="93"/>
      <c r="F1" s="92"/>
      <c r="G1" s="92"/>
      <c r="H1" s="94"/>
      <c r="I1" s="92"/>
      <c r="J1" s="92" t="s">
        <v>184</v>
      </c>
      <c r="K1" s="92" t="s">
        <v>186</v>
      </c>
      <c r="L1" s="92"/>
      <c r="M1" s="92"/>
      <c r="N1" s="92"/>
      <c r="O1" s="87" t="s">
        <v>184</v>
      </c>
      <c r="P1" s="88"/>
      <c r="Q1" s="87"/>
      <c r="R1" s="87"/>
      <c r="S1" s="87"/>
      <c r="T1" s="87"/>
      <c r="U1" s="87"/>
    </row>
    <row r="2" spans="1:21" x14ac:dyDescent="0.25">
      <c r="A2" s="91"/>
      <c r="B2" s="91"/>
      <c r="C2" s="91"/>
      <c r="D2" s="92" t="s">
        <v>187</v>
      </c>
      <c r="E2" s="92"/>
      <c r="F2" s="92"/>
      <c r="G2" s="92"/>
      <c r="H2" s="94"/>
      <c r="I2" s="92"/>
      <c r="J2" s="92" t="s">
        <v>185</v>
      </c>
      <c r="K2" s="92" t="s">
        <v>127</v>
      </c>
      <c r="L2" s="92"/>
      <c r="M2" s="92"/>
      <c r="N2" s="92"/>
      <c r="O2" s="87" t="s">
        <v>185</v>
      </c>
      <c r="P2" s="89"/>
      <c r="Q2" s="87"/>
      <c r="R2" s="87"/>
      <c r="S2" s="87"/>
      <c r="T2" s="87"/>
      <c r="U2" s="87"/>
    </row>
    <row r="3" spans="1:21" x14ac:dyDescent="0.25">
      <c r="A3" s="91"/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</row>
    <row r="4" spans="1:21" s="86" customFormat="1" ht="54" customHeight="1" x14ac:dyDescent="0.25">
      <c r="A4" s="95" t="s">
        <v>157</v>
      </c>
      <c r="B4" s="95" t="s">
        <v>133</v>
      </c>
      <c r="C4" s="96" t="s">
        <v>134</v>
      </c>
      <c r="D4" s="95" t="s">
        <v>132</v>
      </c>
      <c r="E4" s="95" t="s">
        <v>158</v>
      </c>
      <c r="F4" s="95" t="s">
        <v>135</v>
      </c>
      <c r="G4" s="95" t="s">
        <v>180</v>
      </c>
      <c r="H4" s="56" t="s">
        <v>136</v>
      </c>
      <c r="I4" s="56" t="s">
        <v>137</v>
      </c>
      <c r="J4" s="56" t="s">
        <v>182</v>
      </c>
      <c r="K4" s="97" t="s">
        <v>177</v>
      </c>
      <c r="L4" s="97" t="s">
        <v>178</v>
      </c>
      <c r="M4" s="97" t="s">
        <v>179</v>
      </c>
      <c r="N4" s="98" t="s">
        <v>125</v>
      </c>
      <c r="O4" s="83" t="s">
        <v>181</v>
      </c>
    </row>
    <row r="5" spans="1:21" x14ac:dyDescent="0.25">
      <c r="A5" s="99">
        <v>1</v>
      </c>
      <c r="B5" s="100">
        <v>101</v>
      </c>
      <c r="C5" s="92" t="s">
        <v>142</v>
      </c>
      <c r="D5" s="99" t="s">
        <v>141</v>
      </c>
      <c r="E5" s="99" t="s">
        <v>159</v>
      </c>
      <c r="F5" s="99">
        <v>8420000</v>
      </c>
      <c r="G5" s="101">
        <v>8602140</v>
      </c>
      <c r="H5" s="102">
        <f>F5*60/100</f>
        <v>5052000</v>
      </c>
      <c r="I5" s="102">
        <f>1000000+2778600+1896500+1010400+1051400</f>
        <v>7736900</v>
      </c>
      <c r="J5" s="102">
        <f>H5-I5</f>
        <v>-2684900</v>
      </c>
      <c r="K5" s="103">
        <f t="shared" ref="K5:K20" si="0">F5*40/100</f>
        <v>3368000</v>
      </c>
      <c r="L5" s="99">
        <f>259000+229031</f>
        <v>488031</v>
      </c>
      <c r="M5" s="102">
        <v>606240</v>
      </c>
      <c r="N5" s="102">
        <f>K5-L5-M5</f>
        <v>2273729</v>
      </c>
      <c r="O5" s="84">
        <f t="shared" ref="O5:O23" si="1">F5-G5</f>
        <v>-182140</v>
      </c>
    </row>
    <row r="6" spans="1:21" x14ac:dyDescent="0.25">
      <c r="A6" s="99">
        <v>2</v>
      </c>
      <c r="B6" s="100">
        <v>103</v>
      </c>
      <c r="C6" s="92" t="s">
        <v>142</v>
      </c>
      <c r="D6" s="99" t="s">
        <v>141</v>
      </c>
      <c r="E6" s="99" t="s">
        <v>160</v>
      </c>
      <c r="F6" s="99">
        <v>8300000</v>
      </c>
      <c r="G6" s="104">
        <v>7029000</v>
      </c>
      <c r="H6" s="102">
        <f t="shared" ref="H6:H24" si="2">F6*60/100</f>
        <v>4980000</v>
      </c>
      <c r="I6" s="102">
        <f>225000+25000+200000+1000000+3255000</f>
        <v>4705000</v>
      </c>
      <c r="J6" s="102">
        <f t="shared" ref="J6:J24" si="3">H6-I6</f>
        <v>275000</v>
      </c>
      <c r="K6" s="103">
        <f t="shared" si="0"/>
        <v>3320000</v>
      </c>
      <c r="L6" s="99">
        <v>996000</v>
      </c>
      <c r="M6" s="102">
        <v>1328000</v>
      </c>
      <c r="N6" s="102">
        <f t="shared" ref="N6:N24" si="4">K6-L6-M6</f>
        <v>996000</v>
      </c>
      <c r="O6" s="84">
        <f t="shared" si="1"/>
        <v>1271000</v>
      </c>
    </row>
    <row r="7" spans="1:21" x14ac:dyDescent="0.25">
      <c r="A7" s="99">
        <v>3</v>
      </c>
      <c r="B7" s="100">
        <v>105</v>
      </c>
      <c r="C7" s="92" t="s">
        <v>142</v>
      </c>
      <c r="D7" s="99" t="s">
        <v>141</v>
      </c>
      <c r="E7" s="99" t="s">
        <v>161</v>
      </c>
      <c r="F7" s="99">
        <v>7100000</v>
      </c>
      <c r="G7" s="99">
        <v>5750000</v>
      </c>
      <c r="H7" s="102">
        <f t="shared" si="2"/>
        <v>4260000</v>
      </c>
      <c r="I7" s="102">
        <f>25000+200000+200000+200000+200000+300000+100000+2825000</f>
        <v>4050000</v>
      </c>
      <c r="J7" s="102">
        <f t="shared" si="3"/>
        <v>210000</v>
      </c>
      <c r="K7" s="103">
        <f t="shared" si="0"/>
        <v>2840000</v>
      </c>
      <c r="L7" s="99"/>
      <c r="M7" s="102">
        <v>1700000</v>
      </c>
      <c r="N7" s="102">
        <f t="shared" si="4"/>
        <v>1140000</v>
      </c>
      <c r="O7" s="84">
        <f t="shared" si="1"/>
        <v>1350000</v>
      </c>
    </row>
    <row r="8" spans="1:21" x14ac:dyDescent="0.25">
      <c r="A8" s="99">
        <v>4</v>
      </c>
      <c r="B8" s="100">
        <v>107</v>
      </c>
      <c r="C8" s="92" t="s">
        <v>142</v>
      </c>
      <c r="D8" s="99" t="s">
        <v>149</v>
      </c>
      <c r="E8" s="99" t="s">
        <v>162</v>
      </c>
      <c r="F8" s="99">
        <v>7800000</v>
      </c>
      <c r="G8" s="100">
        <v>6364000</v>
      </c>
      <c r="H8" s="102">
        <f t="shared" si="2"/>
        <v>4680000</v>
      </c>
      <c r="I8" s="102">
        <f>25000+100000+100000+500000+500000+3267000</f>
        <v>4492000</v>
      </c>
      <c r="J8" s="102">
        <f t="shared" si="3"/>
        <v>188000</v>
      </c>
      <c r="K8" s="103">
        <f t="shared" si="0"/>
        <v>3120000</v>
      </c>
      <c r="L8" s="99">
        <v>936000</v>
      </c>
      <c r="M8" s="102">
        <v>936000</v>
      </c>
      <c r="N8" s="102">
        <f t="shared" si="4"/>
        <v>1248000</v>
      </c>
      <c r="O8" s="84">
        <f t="shared" si="1"/>
        <v>1436000</v>
      </c>
    </row>
    <row r="9" spans="1:21" ht="19.5" customHeight="1" x14ac:dyDescent="0.25">
      <c r="A9" s="99">
        <v>5</v>
      </c>
      <c r="B9" s="100">
        <v>109</v>
      </c>
      <c r="C9" s="92" t="s">
        <v>142</v>
      </c>
      <c r="D9" s="99" t="s">
        <v>149</v>
      </c>
      <c r="E9" s="99" t="s">
        <v>163</v>
      </c>
      <c r="F9" s="99">
        <v>8500000</v>
      </c>
      <c r="G9" s="99">
        <v>6980000</v>
      </c>
      <c r="H9" s="102">
        <f t="shared" si="2"/>
        <v>5100000</v>
      </c>
      <c r="I9" s="102">
        <f>225000+800000+200000+500000+3215000</f>
        <v>4940000</v>
      </c>
      <c r="J9" s="102">
        <f t="shared" si="3"/>
        <v>160000</v>
      </c>
      <c r="K9" s="103">
        <f t="shared" si="0"/>
        <v>3400000</v>
      </c>
      <c r="L9" s="99">
        <v>1020000</v>
      </c>
      <c r="M9" s="102">
        <v>1020000</v>
      </c>
      <c r="N9" s="102">
        <f t="shared" si="4"/>
        <v>1360000</v>
      </c>
      <c r="O9" s="84">
        <f t="shared" si="1"/>
        <v>1520000</v>
      </c>
    </row>
    <row r="10" spans="1:21" x14ac:dyDescent="0.25">
      <c r="A10" s="99">
        <v>6</v>
      </c>
      <c r="B10" s="100">
        <v>111</v>
      </c>
      <c r="C10" s="92" t="s">
        <v>142</v>
      </c>
      <c r="D10" s="99" t="s">
        <v>149</v>
      </c>
      <c r="E10" s="99" t="s">
        <v>164</v>
      </c>
      <c r="F10" s="99">
        <v>8800000</v>
      </c>
      <c r="G10" s="99">
        <v>7244000</v>
      </c>
      <c r="H10" s="102">
        <f t="shared" si="2"/>
        <v>5280000</v>
      </c>
      <c r="I10" s="102">
        <f>225000+1000000+1500000+1407000+1000000+1056000</f>
        <v>6188000</v>
      </c>
      <c r="J10" s="102">
        <f t="shared" si="3"/>
        <v>-908000</v>
      </c>
      <c r="K10" s="103">
        <f t="shared" si="0"/>
        <v>3520000</v>
      </c>
      <c r="L10" s="99">
        <v>1056000</v>
      </c>
      <c r="M10" s="102"/>
      <c r="N10" s="102">
        <f t="shared" si="4"/>
        <v>2464000</v>
      </c>
      <c r="O10" s="84">
        <f t="shared" si="1"/>
        <v>1556000</v>
      </c>
    </row>
    <row r="11" spans="1:21" ht="18" customHeight="1" x14ac:dyDescent="0.25">
      <c r="A11" s="99">
        <v>7</v>
      </c>
      <c r="B11" s="100">
        <v>113</v>
      </c>
      <c r="C11" s="92" t="s">
        <v>142</v>
      </c>
      <c r="D11" s="99" t="s">
        <v>147</v>
      </c>
      <c r="E11" s="101" t="s">
        <v>165</v>
      </c>
      <c r="F11" s="99">
        <v>10900000</v>
      </c>
      <c r="G11" s="99">
        <v>1225000</v>
      </c>
      <c r="H11" s="102">
        <f t="shared" si="2"/>
        <v>6540000</v>
      </c>
      <c r="I11" s="102">
        <f>225000+1000000</f>
        <v>1225000</v>
      </c>
      <c r="J11" s="102">
        <f t="shared" si="3"/>
        <v>5315000</v>
      </c>
      <c r="K11" s="103">
        <f t="shared" si="0"/>
        <v>4360000</v>
      </c>
      <c r="L11" s="99"/>
      <c r="M11" s="102"/>
      <c r="N11" s="102">
        <f t="shared" si="4"/>
        <v>4360000</v>
      </c>
      <c r="O11" s="84">
        <f t="shared" si="1"/>
        <v>9675000</v>
      </c>
    </row>
    <row r="12" spans="1:21" x14ac:dyDescent="0.25">
      <c r="A12" s="99">
        <v>8</v>
      </c>
      <c r="B12" s="100">
        <v>115</v>
      </c>
      <c r="C12" s="92" t="s">
        <v>142</v>
      </c>
      <c r="D12" s="99" t="s">
        <v>146</v>
      </c>
      <c r="E12" s="99" t="s">
        <v>166</v>
      </c>
      <c r="F12" s="99">
        <v>9110000</v>
      </c>
      <c r="G12" s="99">
        <v>7517000</v>
      </c>
      <c r="H12" s="102">
        <f t="shared" si="2"/>
        <v>5466000</v>
      </c>
      <c r="I12" s="102">
        <f>25000+200000+1000000+2000000+2106000</f>
        <v>5331000</v>
      </c>
      <c r="J12" s="102">
        <f t="shared" si="3"/>
        <v>135000</v>
      </c>
      <c r="K12" s="103">
        <f t="shared" si="0"/>
        <v>3644000</v>
      </c>
      <c r="L12" s="99">
        <v>1093000</v>
      </c>
      <c r="M12" s="102">
        <v>1093000</v>
      </c>
      <c r="N12" s="102">
        <f t="shared" si="4"/>
        <v>1458000</v>
      </c>
      <c r="O12" s="84">
        <f t="shared" si="1"/>
        <v>1593000</v>
      </c>
    </row>
    <row r="13" spans="1:21" x14ac:dyDescent="0.25">
      <c r="A13" s="99">
        <v>9</v>
      </c>
      <c r="B13" s="100">
        <v>117</v>
      </c>
      <c r="C13" s="92" t="s">
        <v>142</v>
      </c>
      <c r="D13" s="99" t="s">
        <v>143</v>
      </c>
      <c r="E13" s="99" t="s">
        <v>167</v>
      </c>
      <c r="F13" s="99">
        <v>8300000</v>
      </c>
      <c r="G13" s="100">
        <v>6829000</v>
      </c>
      <c r="H13" s="102">
        <f t="shared" si="2"/>
        <v>4980000</v>
      </c>
      <c r="I13" s="102">
        <f>25000+25000+200000+1000000+3587000</f>
        <v>4837000</v>
      </c>
      <c r="J13" s="102">
        <f t="shared" si="3"/>
        <v>143000</v>
      </c>
      <c r="K13" s="103">
        <f t="shared" si="0"/>
        <v>3320000</v>
      </c>
      <c r="L13" s="99">
        <v>996000</v>
      </c>
      <c r="M13" s="102">
        <v>996000</v>
      </c>
      <c r="N13" s="102">
        <f t="shared" si="4"/>
        <v>1328000</v>
      </c>
      <c r="O13" s="84">
        <f t="shared" si="1"/>
        <v>1471000</v>
      </c>
    </row>
    <row r="14" spans="1:21" x14ac:dyDescent="0.25">
      <c r="A14" s="99">
        <v>10</v>
      </c>
      <c r="B14" s="100">
        <v>119</v>
      </c>
      <c r="C14" s="92" t="s">
        <v>142</v>
      </c>
      <c r="D14" s="99" t="s">
        <v>150</v>
      </c>
      <c r="E14" s="99" t="s">
        <v>168</v>
      </c>
      <c r="F14" s="99">
        <v>9925000</v>
      </c>
      <c r="G14" s="100">
        <v>3975000</v>
      </c>
      <c r="H14" s="102">
        <f t="shared" si="2"/>
        <v>5955000</v>
      </c>
      <c r="I14" s="102">
        <f>200000+25000+1000000+800000+450000+500000+500000+500000</f>
        <v>3975000</v>
      </c>
      <c r="J14" s="102">
        <f t="shared" si="3"/>
        <v>1980000</v>
      </c>
      <c r="K14" s="103">
        <f t="shared" si="0"/>
        <v>3970000</v>
      </c>
      <c r="L14" s="99">
        <v>0</v>
      </c>
      <c r="M14" s="102">
        <v>0</v>
      </c>
      <c r="N14" s="102">
        <f t="shared" si="4"/>
        <v>3970000</v>
      </c>
      <c r="O14" s="84">
        <f t="shared" si="1"/>
        <v>5950000</v>
      </c>
    </row>
    <row r="15" spans="1:21" x14ac:dyDescent="0.25">
      <c r="A15" s="99">
        <v>11</v>
      </c>
      <c r="B15" s="100">
        <v>121</v>
      </c>
      <c r="C15" s="92" t="s">
        <v>142</v>
      </c>
      <c r="D15" s="99" t="s">
        <v>146</v>
      </c>
      <c r="E15" s="99" t="s">
        <v>169</v>
      </c>
      <c r="F15" s="99">
        <v>9100000</v>
      </c>
      <c r="G15" s="100">
        <v>7508000</v>
      </c>
      <c r="H15" s="102">
        <f t="shared" si="2"/>
        <v>5460000</v>
      </c>
      <c r="I15" s="102">
        <f>25000+200000+1000000+2000000+2099000</f>
        <v>5324000</v>
      </c>
      <c r="J15" s="102">
        <f t="shared" si="3"/>
        <v>136000</v>
      </c>
      <c r="K15" s="103">
        <f t="shared" si="0"/>
        <v>3640000</v>
      </c>
      <c r="L15" s="99">
        <v>2184000</v>
      </c>
      <c r="M15" s="102">
        <v>0</v>
      </c>
      <c r="N15" s="102">
        <f t="shared" si="4"/>
        <v>1456000</v>
      </c>
      <c r="O15" s="84">
        <f t="shared" si="1"/>
        <v>1592000</v>
      </c>
    </row>
    <row r="16" spans="1:21" x14ac:dyDescent="0.25">
      <c r="A16" s="99">
        <v>12</v>
      </c>
      <c r="B16" s="100">
        <v>123</v>
      </c>
      <c r="C16" s="92" t="s">
        <v>142</v>
      </c>
      <c r="D16" s="105" t="s">
        <v>146</v>
      </c>
      <c r="E16" s="105" t="s">
        <v>170</v>
      </c>
      <c r="F16" s="105">
        <v>8111000</v>
      </c>
      <c r="G16" s="105">
        <v>7476000</v>
      </c>
      <c r="H16" s="106">
        <f t="shared" si="2"/>
        <v>4866600</v>
      </c>
      <c r="I16" s="106">
        <f>225000+500000+500000+4439000</f>
        <v>5664000</v>
      </c>
      <c r="J16" s="106">
        <f t="shared" si="3"/>
        <v>-797400</v>
      </c>
      <c r="K16" s="107">
        <f t="shared" si="0"/>
        <v>3244400</v>
      </c>
      <c r="L16" s="105">
        <v>400000</v>
      </c>
      <c r="M16" s="106">
        <v>1412000</v>
      </c>
      <c r="N16" s="106">
        <f t="shared" si="4"/>
        <v>1432400</v>
      </c>
      <c r="O16" s="85">
        <f t="shared" si="1"/>
        <v>635000</v>
      </c>
    </row>
    <row r="17" spans="1:15" x14ac:dyDescent="0.25">
      <c r="A17" s="99">
        <v>13</v>
      </c>
      <c r="B17" s="100">
        <v>125</v>
      </c>
      <c r="C17" s="92" t="s">
        <v>142</v>
      </c>
      <c r="D17" s="99" t="s">
        <v>151</v>
      </c>
      <c r="E17" s="99" t="s">
        <v>171</v>
      </c>
      <c r="F17" s="99">
        <v>8850000</v>
      </c>
      <c r="G17" s="100">
        <v>8038000</v>
      </c>
      <c r="H17" s="102">
        <f t="shared" si="2"/>
        <v>5310000</v>
      </c>
      <c r="I17" s="102">
        <f>225000+500000+4439000</f>
        <v>5164000</v>
      </c>
      <c r="J17" s="102">
        <f t="shared" si="3"/>
        <v>146000</v>
      </c>
      <c r="K17" s="103">
        <f t="shared" si="0"/>
        <v>3540000</v>
      </c>
      <c r="L17" s="99">
        <v>400000</v>
      </c>
      <c r="M17" s="102">
        <v>2474000</v>
      </c>
      <c r="N17" s="102">
        <f t="shared" si="4"/>
        <v>666000</v>
      </c>
      <c r="O17" s="84">
        <f t="shared" si="1"/>
        <v>812000</v>
      </c>
    </row>
    <row r="18" spans="1:15" ht="26.25" x14ac:dyDescent="0.25">
      <c r="A18" s="99">
        <v>14</v>
      </c>
      <c r="B18" s="100">
        <v>127</v>
      </c>
      <c r="C18" s="92" t="s">
        <v>142</v>
      </c>
      <c r="D18" s="99" t="s">
        <v>148</v>
      </c>
      <c r="E18" s="99" t="s">
        <v>172</v>
      </c>
      <c r="F18" s="99">
        <v>8200000</v>
      </c>
      <c r="G18" s="99">
        <v>6691000</v>
      </c>
      <c r="H18" s="102">
        <f t="shared" si="2"/>
        <v>4920000</v>
      </c>
      <c r="I18" s="102">
        <f>200000+200000+50000+150000+4123000</f>
        <v>4723000</v>
      </c>
      <c r="J18" s="102">
        <f t="shared" si="3"/>
        <v>197000</v>
      </c>
      <c r="K18" s="103">
        <f t="shared" si="0"/>
        <v>3280000</v>
      </c>
      <c r="L18" s="99">
        <v>984000</v>
      </c>
      <c r="M18" s="102">
        <v>984000</v>
      </c>
      <c r="N18" s="102">
        <f t="shared" si="4"/>
        <v>1312000</v>
      </c>
      <c r="O18" s="84">
        <f t="shared" si="1"/>
        <v>1509000</v>
      </c>
    </row>
    <row r="19" spans="1:15" ht="26.25" x14ac:dyDescent="0.25">
      <c r="A19" s="99">
        <v>15</v>
      </c>
      <c r="B19" s="100">
        <v>130</v>
      </c>
      <c r="C19" s="92" t="s">
        <v>142</v>
      </c>
      <c r="D19" s="99" t="s">
        <v>148</v>
      </c>
      <c r="E19" s="99" t="s">
        <v>173</v>
      </c>
      <c r="F19" s="99">
        <v>8300000</v>
      </c>
      <c r="G19" s="100">
        <v>7699600</v>
      </c>
      <c r="H19" s="102">
        <f t="shared" si="2"/>
        <v>4980000</v>
      </c>
      <c r="I19" s="102">
        <f>25000+200000+1000000+473000+3087000</f>
        <v>4785000</v>
      </c>
      <c r="J19" s="102">
        <f t="shared" si="3"/>
        <v>195000</v>
      </c>
      <c r="K19" s="103">
        <f t="shared" si="0"/>
        <v>3320000</v>
      </c>
      <c r="L19" s="100">
        <v>1918600</v>
      </c>
      <c r="M19" s="102">
        <v>996000</v>
      </c>
      <c r="N19" s="102">
        <f t="shared" si="4"/>
        <v>405400</v>
      </c>
      <c r="O19" s="84">
        <f t="shared" si="1"/>
        <v>600400</v>
      </c>
    </row>
    <row r="20" spans="1:15" ht="16.5" customHeight="1" x14ac:dyDescent="0.25">
      <c r="A20" s="99">
        <v>16</v>
      </c>
      <c r="B20" s="100">
        <v>132</v>
      </c>
      <c r="C20" s="92" t="s">
        <v>142</v>
      </c>
      <c r="D20" s="99" t="s">
        <v>148</v>
      </c>
      <c r="E20" s="99" t="s">
        <v>174</v>
      </c>
      <c r="F20" s="99">
        <v>8300000</v>
      </c>
      <c r="G20" s="100">
        <v>7076600</v>
      </c>
      <c r="H20" s="102">
        <f t="shared" si="2"/>
        <v>4980000</v>
      </c>
      <c r="I20" s="102">
        <f>25000+200000+500000+500000+3587000</f>
        <v>4812000</v>
      </c>
      <c r="J20" s="102">
        <f t="shared" si="3"/>
        <v>168000</v>
      </c>
      <c r="K20" s="103">
        <f t="shared" si="0"/>
        <v>3320000</v>
      </c>
      <c r="L20" s="99">
        <f>996000+1743495+104835</f>
        <v>2844330</v>
      </c>
      <c r="M20" s="102">
        <v>1268600</v>
      </c>
      <c r="N20" s="102">
        <f t="shared" si="4"/>
        <v>-792930</v>
      </c>
      <c r="O20" s="84">
        <f t="shared" si="1"/>
        <v>1223400</v>
      </c>
    </row>
    <row r="21" spans="1:15" ht="16.5" customHeight="1" x14ac:dyDescent="0.25">
      <c r="A21" s="99">
        <v>17</v>
      </c>
      <c r="B21" s="100">
        <v>136</v>
      </c>
      <c r="C21" s="92" t="s">
        <v>145</v>
      </c>
      <c r="D21" s="108" t="s">
        <v>144</v>
      </c>
      <c r="E21" s="100"/>
      <c r="F21" s="99">
        <v>0</v>
      </c>
      <c r="G21" s="100">
        <v>0</v>
      </c>
      <c r="H21" s="102">
        <f t="shared" si="2"/>
        <v>0</v>
      </c>
      <c r="I21" s="102">
        <v>0</v>
      </c>
      <c r="J21" s="102">
        <v>0</v>
      </c>
      <c r="K21" s="103">
        <v>0</v>
      </c>
      <c r="L21" s="99">
        <v>0</v>
      </c>
      <c r="M21" s="102">
        <v>0</v>
      </c>
      <c r="N21" s="102">
        <v>0</v>
      </c>
      <c r="O21" s="84">
        <f t="shared" si="1"/>
        <v>0</v>
      </c>
    </row>
    <row r="22" spans="1:15" x14ac:dyDescent="0.25">
      <c r="A22" s="99">
        <v>18</v>
      </c>
      <c r="B22" s="100">
        <v>134</v>
      </c>
      <c r="C22" s="92" t="s">
        <v>142</v>
      </c>
      <c r="D22" s="99" t="s">
        <v>144</v>
      </c>
      <c r="E22" s="99" t="s">
        <v>175</v>
      </c>
      <c r="F22" s="99">
        <v>8700000</v>
      </c>
      <c r="G22" s="100">
        <v>7435480</v>
      </c>
      <c r="H22" s="102">
        <f t="shared" si="2"/>
        <v>5220000</v>
      </c>
      <c r="I22" s="102">
        <f>225000+225000+1000000+950000+645000+950000+950000</f>
        <v>4945000</v>
      </c>
      <c r="J22" s="102">
        <f t="shared" si="3"/>
        <v>275000</v>
      </c>
      <c r="K22" s="103">
        <f>F22*40/100</f>
        <v>3480000</v>
      </c>
      <c r="L22" s="99">
        <v>1446480</v>
      </c>
      <c r="M22" s="102">
        <v>1044000</v>
      </c>
      <c r="N22" s="102">
        <f t="shared" si="4"/>
        <v>989520</v>
      </c>
      <c r="O22" s="84">
        <f t="shared" si="1"/>
        <v>1264520</v>
      </c>
    </row>
    <row r="23" spans="1:15" x14ac:dyDescent="0.25">
      <c r="A23" s="99">
        <v>19</v>
      </c>
      <c r="B23" s="100">
        <v>138</v>
      </c>
      <c r="C23" s="92" t="s">
        <v>142</v>
      </c>
      <c r="D23" s="99" t="s">
        <v>153</v>
      </c>
      <c r="E23" s="99" t="s">
        <v>176</v>
      </c>
      <c r="F23" s="99">
        <v>9000000</v>
      </c>
      <c r="G23" s="100">
        <v>7340000</v>
      </c>
      <c r="H23" s="102">
        <f t="shared" si="2"/>
        <v>5400000</v>
      </c>
      <c r="I23" s="102">
        <f>25000+200000+1000000+1000000+900000+900000+900000+975000</f>
        <v>5900000</v>
      </c>
      <c r="J23" s="102">
        <f t="shared" si="3"/>
        <v>-500000</v>
      </c>
      <c r="K23" s="103">
        <f>F23*40/100</f>
        <v>3600000</v>
      </c>
      <c r="L23" s="99">
        <v>0</v>
      </c>
      <c r="M23" s="102">
        <v>1440000</v>
      </c>
      <c r="N23" s="102">
        <f t="shared" si="4"/>
        <v>2160000</v>
      </c>
      <c r="O23" s="84">
        <f t="shared" si="1"/>
        <v>1660000</v>
      </c>
    </row>
    <row r="24" spans="1:15" x14ac:dyDescent="0.25">
      <c r="A24" s="99">
        <v>20</v>
      </c>
      <c r="B24" s="100">
        <v>140</v>
      </c>
      <c r="C24" s="92" t="s">
        <v>142</v>
      </c>
      <c r="D24" s="99" t="s">
        <v>153</v>
      </c>
      <c r="E24" s="58" t="s">
        <v>234</v>
      </c>
      <c r="F24" s="61">
        <v>12900000</v>
      </c>
      <c r="G24" s="99">
        <v>25000</v>
      </c>
      <c r="H24" s="102">
        <f t="shared" si="2"/>
        <v>7740000</v>
      </c>
      <c r="I24" s="109">
        <v>25000</v>
      </c>
      <c r="J24" s="102">
        <f t="shared" si="3"/>
        <v>7715000</v>
      </c>
      <c r="K24" s="103">
        <f>F24*40/100</f>
        <v>5160000</v>
      </c>
      <c r="L24" s="99"/>
      <c r="M24" s="102"/>
      <c r="N24" s="102">
        <f t="shared" si="4"/>
        <v>5160000</v>
      </c>
    </row>
    <row r="25" spans="1:15" ht="15.75" thickBot="1" x14ac:dyDescent="0.3">
      <c r="A25" s="99"/>
      <c r="B25" s="99"/>
      <c r="C25" s="99"/>
      <c r="D25" s="99"/>
      <c r="E25" s="112" t="s">
        <v>44</v>
      </c>
      <c r="F25" s="113">
        <f t="shared" ref="F25:O25" si="5">SUM(F5:F24)</f>
        <v>168616000</v>
      </c>
      <c r="G25" s="113">
        <f t="shared" si="5"/>
        <v>120804820</v>
      </c>
      <c r="H25" s="114">
        <f t="shared" si="5"/>
        <v>101169600</v>
      </c>
      <c r="I25" s="114">
        <f t="shared" si="5"/>
        <v>88821900</v>
      </c>
      <c r="J25" s="114">
        <f t="shared" si="5"/>
        <v>12347700</v>
      </c>
      <c r="K25" s="114">
        <f t="shared" si="5"/>
        <v>67446400</v>
      </c>
      <c r="L25" s="114">
        <f t="shared" si="5"/>
        <v>16762441</v>
      </c>
      <c r="M25" s="114">
        <f t="shared" si="5"/>
        <v>17297840</v>
      </c>
      <c r="N25" s="114">
        <f t="shared" si="5"/>
        <v>33386119</v>
      </c>
      <c r="O25" s="84">
        <f t="shared" si="5"/>
        <v>34936180</v>
      </c>
    </row>
    <row r="26" spans="1:15" ht="15.75" thickTop="1" x14ac:dyDescent="0.25">
      <c r="A26" s="91"/>
      <c r="B26" s="91"/>
      <c r="C26" s="91"/>
      <c r="D26" s="91"/>
      <c r="E26" s="111"/>
      <c r="F26" s="111"/>
      <c r="G26" s="111"/>
      <c r="H26" s="111"/>
      <c r="I26" s="111"/>
      <c r="J26" s="111"/>
      <c r="K26" s="111"/>
      <c r="L26" s="111"/>
      <c r="M26" s="111"/>
      <c r="N26" s="111"/>
    </row>
    <row r="27" spans="1:15" x14ac:dyDescent="0.25">
      <c r="A27" s="91"/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</row>
    <row r="28" spans="1:15" x14ac:dyDescent="0.25">
      <c r="A28" s="91"/>
      <c r="B28" s="91"/>
      <c r="C28" s="91"/>
      <c r="D28" s="91">
        <v>1</v>
      </c>
      <c r="E28" s="56" t="s">
        <v>137</v>
      </c>
      <c r="F28" s="103">
        <f>I25</f>
        <v>88821900</v>
      </c>
      <c r="G28" s="91"/>
      <c r="H28" s="91"/>
      <c r="I28" s="91"/>
      <c r="J28" s="91"/>
      <c r="K28" s="91"/>
      <c r="L28" s="103"/>
      <c r="M28" s="91"/>
      <c r="N28" s="91"/>
    </row>
    <row r="29" spans="1:15" ht="18.75" customHeight="1" x14ac:dyDescent="0.25">
      <c r="A29" s="91"/>
      <c r="B29" s="91"/>
      <c r="C29" s="91"/>
      <c r="D29" s="91">
        <v>2</v>
      </c>
      <c r="E29" s="56" t="s">
        <v>182</v>
      </c>
      <c r="F29" s="103">
        <f>J25</f>
        <v>12347700</v>
      </c>
      <c r="G29" s="91"/>
      <c r="H29" s="91"/>
      <c r="I29" s="91"/>
      <c r="J29" s="91"/>
      <c r="K29" s="91"/>
      <c r="L29" s="91"/>
      <c r="M29" s="91"/>
      <c r="N29" s="91"/>
    </row>
    <row r="30" spans="1:15" x14ac:dyDescent="0.25">
      <c r="A30" s="91"/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</row>
    <row r="31" spans="1:15" x14ac:dyDescent="0.25">
      <c r="A31" s="91"/>
      <c r="B31" s="91"/>
      <c r="C31" s="91"/>
      <c r="D31" s="91">
        <v>1</v>
      </c>
      <c r="E31" s="110" t="s">
        <v>188</v>
      </c>
      <c r="F31" s="103">
        <f>L25+M25</f>
        <v>34060281</v>
      </c>
      <c r="G31" s="91"/>
      <c r="H31" s="91"/>
      <c r="I31" s="91"/>
      <c r="J31" s="91"/>
      <c r="K31" s="91"/>
      <c r="L31" s="91"/>
      <c r="M31" s="91"/>
      <c r="N31" s="91"/>
    </row>
    <row r="32" spans="1:15" x14ac:dyDescent="0.25">
      <c r="A32" s="91"/>
      <c r="B32" s="91"/>
      <c r="C32" s="91"/>
      <c r="D32" s="91">
        <v>2</v>
      </c>
      <c r="E32" s="98" t="s">
        <v>125</v>
      </c>
      <c r="F32" s="103">
        <f>N25</f>
        <v>33386119</v>
      </c>
      <c r="G32" s="91"/>
      <c r="H32" s="91"/>
      <c r="I32" s="91"/>
      <c r="J32" s="91"/>
      <c r="K32" s="91"/>
      <c r="L32" s="91"/>
      <c r="M32" s="91"/>
      <c r="N32" s="91"/>
    </row>
    <row r="33" spans="1:14" x14ac:dyDescent="0.25">
      <c r="A33" s="91"/>
      <c r="B33" s="91"/>
      <c r="C33" s="91"/>
      <c r="D33" s="91"/>
      <c r="E33" s="103"/>
      <c r="F33" s="91"/>
      <c r="G33" s="91"/>
      <c r="H33" s="91"/>
      <c r="I33" s="91"/>
      <c r="J33" s="91"/>
      <c r="K33" s="91"/>
      <c r="L33" s="91"/>
      <c r="M33" s="91"/>
      <c r="N33" s="91"/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A1D5C-11C3-4367-9F5F-2F9A47FBF66A}">
  <dimension ref="A1:E106"/>
  <sheetViews>
    <sheetView workbookViewId="0">
      <selection activeCell="I14" sqref="I14"/>
    </sheetView>
  </sheetViews>
  <sheetFormatPr defaultRowHeight="15" x14ac:dyDescent="0.25"/>
  <cols>
    <col min="2" max="2" width="36" bestFit="1" customWidth="1"/>
  </cols>
  <sheetData>
    <row r="1" spans="1:5" x14ac:dyDescent="0.25">
      <c r="A1" s="115"/>
      <c r="B1" s="115" t="s">
        <v>189</v>
      </c>
      <c r="C1" s="116"/>
      <c r="D1" s="117"/>
      <c r="E1" s="118"/>
    </row>
    <row r="2" spans="1:5" x14ac:dyDescent="0.25">
      <c r="A2" s="119">
        <v>1</v>
      </c>
      <c r="B2" s="120" t="s">
        <v>190</v>
      </c>
      <c r="C2" s="121">
        <v>0.01</v>
      </c>
      <c r="D2" s="117">
        <v>9000</v>
      </c>
      <c r="E2" s="122">
        <v>90</v>
      </c>
    </row>
    <row r="3" spans="1:5" x14ac:dyDescent="0.25">
      <c r="A3" s="119">
        <f>A2+1</f>
        <v>2</v>
      </c>
      <c r="B3" s="120" t="s">
        <v>191</v>
      </c>
      <c r="C3" s="121">
        <v>0.01</v>
      </c>
      <c r="D3" s="117">
        <v>2400</v>
      </c>
      <c r="E3" s="122">
        <v>24</v>
      </c>
    </row>
    <row r="4" spans="1:5" x14ac:dyDescent="0.25">
      <c r="A4" s="119">
        <f t="shared" ref="A4:A56" si="0">A3+1</f>
        <v>3</v>
      </c>
      <c r="B4" s="120" t="s">
        <v>192</v>
      </c>
      <c r="C4" s="121">
        <v>0.01</v>
      </c>
      <c r="D4" s="117">
        <v>2400</v>
      </c>
      <c r="E4" s="122">
        <v>24</v>
      </c>
    </row>
    <row r="5" spans="1:5" x14ac:dyDescent="0.25">
      <c r="A5" s="119">
        <f t="shared" si="0"/>
        <v>4</v>
      </c>
      <c r="B5" s="120" t="s">
        <v>193</v>
      </c>
      <c r="C5" s="121">
        <v>0.01</v>
      </c>
      <c r="D5" s="117">
        <v>50000</v>
      </c>
      <c r="E5" s="122">
        <v>500</v>
      </c>
    </row>
    <row r="6" spans="1:5" x14ac:dyDescent="0.25">
      <c r="A6" s="119">
        <f t="shared" si="0"/>
        <v>5</v>
      </c>
      <c r="B6" s="120" t="s">
        <v>194</v>
      </c>
      <c r="C6" s="121">
        <v>0.01</v>
      </c>
      <c r="D6" s="117">
        <v>20700</v>
      </c>
      <c r="E6" s="122">
        <v>207</v>
      </c>
    </row>
    <row r="7" spans="1:5" x14ac:dyDescent="0.25">
      <c r="A7" s="119">
        <f t="shared" si="0"/>
        <v>6</v>
      </c>
      <c r="B7" s="120" t="s">
        <v>195</v>
      </c>
      <c r="C7" s="121">
        <v>0.01</v>
      </c>
      <c r="D7" s="117">
        <v>8400</v>
      </c>
      <c r="E7" s="122">
        <v>84</v>
      </c>
    </row>
    <row r="8" spans="1:5" x14ac:dyDescent="0.25">
      <c r="A8" s="119">
        <f t="shared" si="0"/>
        <v>7</v>
      </c>
      <c r="B8" s="120" t="s">
        <v>196</v>
      </c>
      <c r="C8" s="121">
        <v>0.01</v>
      </c>
      <c r="D8" s="117">
        <v>35000</v>
      </c>
      <c r="E8" s="122">
        <v>350</v>
      </c>
    </row>
    <row r="9" spans="1:5" x14ac:dyDescent="0.25">
      <c r="A9" s="119">
        <f t="shared" si="0"/>
        <v>8</v>
      </c>
      <c r="B9" s="120" t="s">
        <v>197</v>
      </c>
      <c r="C9" s="121">
        <v>0.01</v>
      </c>
      <c r="D9" s="117">
        <v>22000</v>
      </c>
      <c r="E9" s="122">
        <v>220</v>
      </c>
    </row>
    <row r="10" spans="1:5" x14ac:dyDescent="0.25">
      <c r="A10" s="119">
        <f t="shared" si="0"/>
        <v>9</v>
      </c>
      <c r="B10" s="120" t="s">
        <v>198</v>
      </c>
      <c r="C10" s="121">
        <v>0.01</v>
      </c>
      <c r="D10" s="117">
        <v>35000</v>
      </c>
      <c r="E10" s="122">
        <v>350</v>
      </c>
    </row>
    <row r="11" spans="1:5" x14ac:dyDescent="0.25">
      <c r="A11" s="119">
        <f t="shared" si="0"/>
        <v>10</v>
      </c>
      <c r="B11" s="120" t="s">
        <v>193</v>
      </c>
      <c r="C11" s="121">
        <v>0.01</v>
      </c>
      <c r="D11" s="117">
        <v>50000</v>
      </c>
      <c r="E11" s="122">
        <v>500</v>
      </c>
    </row>
    <row r="12" spans="1:5" x14ac:dyDescent="0.25">
      <c r="A12" s="119">
        <f t="shared" si="0"/>
        <v>11</v>
      </c>
      <c r="B12" s="120" t="s">
        <v>199</v>
      </c>
      <c r="C12" s="121">
        <v>0.01</v>
      </c>
      <c r="D12" s="117">
        <v>2100</v>
      </c>
      <c r="E12" s="122">
        <v>42</v>
      </c>
    </row>
    <row r="13" spans="1:5" x14ac:dyDescent="0.25">
      <c r="A13" s="119">
        <f t="shared" si="0"/>
        <v>12</v>
      </c>
      <c r="B13" s="120" t="s">
        <v>191</v>
      </c>
      <c r="C13" s="121">
        <v>0.01</v>
      </c>
      <c r="D13" s="117">
        <v>3600</v>
      </c>
      <c r="E13" s="122">
        <v>36</v>
      </c>
    </row>
    <row r="14" spans="1:5" x14ac:dyDescent="0.25">
      <c r="A14" s="119">
        <f t="shared" si="0"/>
        <v>13</v>
      </c>
      <c r="B14" s="120" t="s">
        <v>192</v>
      </c>
      <c r="C14" s="121">
        <v>0.01</v>
      </c>
      <c r="D14" s="117">
        <v>3600</v>
      </c>
      <c r="E14" s="122">
        <v>36</v>
      </c>
    </row>
    <row r="15" spans="1:5" x14ac:dyDescent="0.25">
      <c r="A15" s="119">
        <f t="shared" si="0"/>
        <v>14</v>
      </c>
      <c r="B15" s="120" t="s">
        <v>190</v>
      </c>
      <c r="C15" s="121">
        <v>0.01</v>
      </c>
      <c r="D15" s="117">
        <v>12000</v>
      </c>
      <c r="E15" s="122">
        <v>120</v>
      </c>
    </row>
    <row r="16" spans="1:5" x14ac:dyDescent="0.25">
      <c r="A16" s="119">
        <f t="shared" si="0"/>
        <v>15</v>
      </c>
      <c r="B16" s="120" t="s">
        <v>200</v>
      </c>
      <c r="C16" s="121">
        <v>0.01</v>
      </c>
      <c r="D16" s="117">
        <v>30000</v>
      </c>
      <c r="E16" s="122">
        <v>300</v>
      </c>
    </row>
    <row r="17" spans="1:5" x14ac:dyDescent="0.25">
      <c r="A17" s="119">
        <f t="shared" si="0"/>
        <v>16</v>
      </c>
      <c r="B17" s="120" t="s">
        <v>201</v>
      </c>
      <c r="C17" s="121">
        <v>0.01</v>
      </c>
      <c r="D17" s="117">
        <v>10650</v>
      </c>
      <c r="E17" s="122">
        <v>107</v>
      </c>
    </row>
    <row r="18" spans="1:5" x14ac:dyDescent="0.25">
      <c r="A18" s="119">
        <f t="shared" si="0"/>
        <v>17</v>
      </c>
      <c r="B18" s="120" t="s">
        <v>202</v>
      </c>
      <c r="C18" s="121">
        <v>0.01</v>
      </c>
      <c r="D18" s="117">
        <v>1400</v>
      </c>
      <c r="E18" s="122">
        <v>14</v>
      </c>
    </row>
    <row r="19" spans="1:5" x14ac:dyDescent="0.25">
      <c r="A19" s="119">
        <f t="shared" si="0"/>
        <v>18</v>
      </c>
      <c r="B19" s="120" t="s">
        <v>203</v>
      </c>
      <c r="C19" s="121">
        <v>0.01</v>
      </c>
      <c r="D19" s="117">
        <v>1250</v>
      </c>
      <c r="E19" s="122">
        <v>13</v>
      </c>
    </row>
    <row r="20" spans="1:5" x14ac:dyDescent="0.25">
      <c r="A20" s="119">
        <f t="shared" si="0"/>
        <v>19</v>
      </c>
      <c r="B20" s="120" t="s">
        <v>194</v>
      </c>
      <c r="C20" s="121">
        <v>0.01</v>
      </c>
      <c r="D20" s="117">
        <v>4450</v>
      </c>
      <c r="E20" s="122">
        <v>45</v>
      </c>
    </row>
    <row r="21" spans="1:5" x14ac:dyDescent="0.25">
      <c r="A21" s="119">
        <f t="shared" si="0"/>
        <v>20</v>
      </c>
      <c r="B21" s="120" t="s">
        <v>204</v>
      </c>
      <c r="C21" s="121">
        <v>0.01</v>
      </c>
      <c r="D21" s="117">
        <v>13600</v>
      </c>
      <c r="E21" s="122">
        <v>136</v>
      </c>
    </row>
    <row r="22" spans="1:5" x14ac:dyDescent="0.25">
      <c r="A22" s="119">
        <f t="shared" si="0"/>
        <v>21</v>
      </c>
      <c r="B22" s="120" t="s">
        <v>205</v>
      </c>
      <c r="C22" s="121">
        <v>0.01</v>
      </c>
      <c r="D22" s="117">
        <v>19500</v>
      </c>
      <c r="E22" s="122">
        <v>195</v>
      </c>
    </row>
    <row r="23" spans="1:5" x14ac:dyDescent="0.25">
      <c r="A23" s="119">
        <f t="shared" si="0"/>
        <v>22</v>
      </c>
      <c r="B23" s="120" t="s">
        <v>206</v>
      </c>
      <c r="C23" s="121">
        <v>0.01</v>
      </c>
      <c r="D23" s="117">
        <v>7500</v>
      </c>
      <c r="E23" s="122">
        <v>75</v>
      </c>
    </row>
    <row r="24" spans="1:5" x14ac:dyDescent="0.25">
      <c r="A24" s="119">
        <f t="shared" si="0"/>
        <v>23</v>
      </c>
      <c r="B24" s="120" t="s">
        <v>201</v>
      </c>
      <c r="C24" s="121">
        <v>0.01</v>
      </c>
      <c r="D24" s="117">
        <v>9500</v>
      </c>
      <c r="E24" s="122">
        <v>95</v>
      </c>
    </row>
    <row r="25" spans="1:5" x14ac:dyDescent="0.25">
      <c r="A25" s="119">
        <f t="shared" si="0"/>
        <v>24</v>
      </c>
      <c r="B25" s="120" t="s">
        <v>195</v>
      </c>
      <c r="C25" s="121">
        <v>0.01</v>
      </c>
      <c r="D25" s="117">
        <v>50000</v>
      </c>
      <c r="E25" s="122">
        <v>500</v>
      </c>
    </row>
    <row r="26" spans="1:5" x14ac:dyDescent="0.25">
      <c r="A26" s="119">
        <f t="shared" si="0"/>
        <v>25</v>
      </c>
      <c r="B26" s="120" t="s">
        <v>190</v>
      </c>
      <c r="C26" s="121">
        <v>0.01</v>
      </c>
      <c r="D26" s="117">
        <v>13100</v>
      </c>
      <c r="E26" s="122">
        <v>131</v>
      </c>
    </row>
    <row r="27" spans="1:5" x14ac:dyDescent="0.25">
      <c r="A27" s="119">
        <f t="shared" si="0"/>
        <v>26</v>
      </c>
      <c r="B27" s="120" t="s">
        <v>207</v>
      </c>
      <c r="C27" s="121">
        <v>0.01</v>
      </c>
      <c r="D27" s="117">
        <v>2300</v>
      </c>
      <c r="E27" s="122">
        <v>23</v>
      </c>
    </row>
    <row r="28" spans="1:5" x14ac:dyDescent="0.25">
      <c r="A28" s="119">
        <f t="shared" si="0"/>
        <v>27</v>
      </c>
      <c r="B28" s="120" t="s">
        <v>192</v>
      </c>
      <c r="C28" s="121">
        <v>0.01</v>
      </c>
      <c r="D28" s="117">
        <v>3000</v>
      </c>
      <c r="E28" s="122">
        <v>30</v>
      </c>
    </row>
    <row r="29" spans="1:5" x14ac:dyDescent="0.25">
      <c r="A29" s="119">
        <f t="shared" si="0"/>
        <v>28</v>
      </c>
      <c r="B29" s="120" t="s">
        <v>191</v>
      </c>
      <c r="C29" s="121">
        <v>0.01</v>
      </c>
      <c r="D29" s="117">
        <v>3000</v>
      </c>
      <c r="E29" s="122">
        <v>30</v>
      </c>
    </row>
    <row r="30" spans="1:5" x14ac:dyDescent="0.25">
      <c r="A30" s="119">
        <f t="shared" si="0"/>
        <v>29</v>
      </c>
      <c r="B30" s="120" t="s">
        <v>193</v>
      </c>
      <c r="C30" s="121">
        <v>0.01</v>
      </c>
      <c r="D30" s="117">
        <v>20000</v>
      </c>
      <c r="E30" s="122">
        <v>200</v>
      </c>
    </row>
    <row r="31" spans="1:5" x14ac:dyDescent="0.25">
      <c r="A31" s="119">
        <f t="shared" si="0"/>
        <v>30</v>
      </c>
      <c r="B31" s="120" t="s">
        <v>197</v>
      </c>
      <c r="C31" s="121">
        <v>0.01</v>
      </c>
      <c r="D31" s="117">
        <v>40000</v>
      </c>
      <c r="E31" s="122">
        <v>400</v>
      </c>
    </row>
    <row r="32" spans="1:5" x14ac:dyDescent="0.25">
      <c r="A32" s="119">
        <f t="shared" si="0"/>
        <v>31</v>
      </c>
      <c r="B32" s="120" t="s">
        <v>208</v>
      </c>
      <c r="C32" s="121">
        <v>0.01</v>
      </c>
      <c r="D32" s="117">
        <v>50000</v>
      </c>
      <c r="E32" s="122">
        <v>500</v>
      </c>
    </row>
    <row r="33" spans="1:5" x14ac:dyDescent="0.25">
      <c r="A33" s="119">
        <f t="shared" si="0"/>
        <v>32</v>
      </c>
      <c r="B33" s="120" t="s">
        <v>200</v>
      </c>
      <c r="C33" s="121">
        <v>0.01</v>
      </c>
      <c r="D33" s="117">
        <v>30000</v>
      </c>
      <c r="E33" s="122">
        <v>300</v>
      </c>
    </row>
    <row r="34" spans="1:5" x14ac:dyDescent="0.25">
      <c r="A34" s="119">
        <f t="shared" si="0"/>
        <v>33</v>
      </c>
      <c r="B34" s="120" t="s">
        <v>209</v>
      </c>
      <c r="C34" s="121">
        <v>0.01</v>
      </c>
      <c r="D34" s="117">
        <v>50000</v>
      </c>
      <c r="E34" s="122">
        <v>500</v>
      </c>
    </row>
    <row r="35" spans="1:5" x14ac:dyDescent="0.25">
      <c r="A35" s="119">
        <f t="shared" si="0"/>
        <v>34</v>
      </c>
      <c r="B35" s="120" t="s">
        <v>207</v>
      </c>
      <c r="C35" s="121">
        <v>0.01</v>
      </c>
      <c r="D35" s="117">
        <v>2300</v>
      </c>
      <c r="E35" s="122">
        <v>23</v>
      </c>
    </row>
    <row r="36" spans="1:5" x14ac:dyDescent="0.25">
      <c r="A36" s="119">
        <f t="shared" si="0"/>
        <v>35</v>
      </c>
      <c r="B36" s="120" t="s">
        <v>192</v>
      </c>
      <c r="C36" s="121">
        <v>0.01</v>
      </c>
      <c r="D36" s="117">
        <v>1800</v>
      </c>
      <c r="E36" s="122">
        <v>18</v>
      </c>
    </row>
    <row r="37" spans="1:5" x14ac:dyDescent="0.25">
      <c r="A37" s="119">
        <f t="shared" si="0"/>
        <v>36</v>
      </c>
      <c r="B37" s="120" t="s">
        <v>210</v>
      </c>
      <c r="C37" s="121">
        <v>0.01</v>
      </c>
      <c r="D37" s="117">
        <v>2450</v>
      </c>
      <c r="E37" s="122">
        <v>24</v>
      </c>
    </row>
    <row r="38" spans="1:5" x14ac:dyDescent="0.25">
      <c r="A38" s="119">
        <f t="shared" si="0"/>
        <v>37</v>
      </c>
      <c r="B38" s="120" t="s">
        <v>191</v>
      </c>
      <c r="C38" s="121">
        <v>0.01</v>
      </c>
      <c r="D38" s="117">
        <v>1800</v>
      </c>
      <c r="E38" s="122">
        <v>18</v>
      </c>
    </row>
    <row r="39" spans="1:5" x14ac:dyDescent="0.25">
      <c r="A39" s="119">
        <f t="shared" si="0"/>
        <v>38</v>
      </c>
      <c r="B39" s="120" t="s">
        <v>190</v>
      </c>
      <c r="C39" s="121">
        <v>0.01</v>
      </c>
      <c r="D39" s="117">
        <v>8000</v>
      </c>
      <c r="E39" s="122">
        <v>80</v>
      </c>
    </row>
    <row r="40" spans="1:5" x14ac:dyDescent="0.25">
      <c r="A40" s="119">
        <f t="shared" si="0"/>
        <v>39</v>
      </c>
      <c r="B40" s="120" t="s">
        <v>211</v>
      </c>
      <c r="C40" s="121">
        <v>0.01</v>
      </c>
      <c r="D40" s="117">
        <v>9610</v>
      </c>
      <c r="E40" s="122">
        <v>96</v>
      </c>
    </row>
    <row r="41" spans="1:5" x14ac:dyDescent="0.25">
      <c r="A41" s="119">
        <f t="shared" si="0"/>
        <v>40</v>
      </c>
      <c r="B41" s="120" t="s">
        <v>209</v>
      </c>
      <c r="C41" s="121">
        <v>0.01</v>
      </c>
      <c r="D41" s="123">
        <v>50000</v>
      </c>
      <c r="E41" s="122">
        <v>500</v>
      </c>
    </row>
    <row r="42" spans="1:5" x14ac:dyDescent="0.25">
      <c r="A42" s="119">
        <f t="shared" si="0"/>
        <v>41</v>
      </c>
      <c r="B42" s="120" t="s">
        <v>197</v>
      </c>
      <c r="C42" s="121">
        <v>0.01</v>
      </c>
      <c r="D42" s="117">
        <v>10000</v>
      </c>
      <c r="E42" s="122">
        <v>100</v>
      </c>
    </row>
    <row r="43" spans="1:5" x14ac:dyDescent="0.25">
      <c r="A43" s="119">
        <f t="shared" si="0"/>
        <v>42</v>
      </c>
      <c r="B43" s="120" t="s">
        <v>196</v>
      </c>
      <c r="C43" s="121">
        <v>0.01</v>
      </c>
      <c r="D43" s="117">
        <v>4500</v>
      </c>
      <c r="E43" s="122">
        <v>45</v>
      </c>
    </row>
    <row r="44" spans="1:5" x14ac:dyDescent="0.25">
      <c r="A44" s="119">
        <f t="shared" si="0"/>
        <v>43</v>
      </c>
      <c r="B44" s="120" t="s">
        <v>201</v>
      </c>
      <c r="C44" s="121">
        <v>0.01</v>
      </c>
      <c r="D44" s="117">
        <v>5800</v>
      </c>
      <c r="E44" s="122">
        <v>58</v>
      </c>
    </row>
    <row r="45" spans="1:5" x14ac:dyDescent="0.25">
      <c r="A45" s="119">
        <f t="shared" si="0"/>
        <v>44</v>
      </c>
      <c r="B45" s="120" t="s">
        <v>202</v>
      </c>
      <c r="C45" s="121">
        <v>0.01</v>
      </c>
      <c r="D45" s="117">
        <v>700</v>
      </c>
      <c r="E45" s="122">
        <v>7</v>
      </c>
    </row>
    <row r="46" spans="1:5" x14ac:dyDescent="0.25">
      <c r="A46" s="119">
        <f t="shared" si="0"/>
        <v>45</v>
      </c>
      <c r="B46" s="120" t="s">
        <v>192</v>
      </c>
      <c r="C46" s="121">
        <v>0.01</v>
      </c>
      <c r="D46" s="117">
        <v>5700</v>
      </c>
      <c r="E46" s="122">
        <v>57</v>
      </c>
    </row>
    <row r="47" spans="1:5" x14ac:dyDescent="0.25">
      <c r="A47" s="119">
        <f t="shared" si="0"/>
        <v>46</v>
      </c>
      <c r="B47" s="120" t="s">
        <v>207</v>
      </c>
      <c r="C47" s="121">
        <v>0.01</v>
      </c>
      <c r="D47" s="117">
        <v>5625</v>
      </c>
      <c r="E47" s="122">
        <v>56</v>
      </c>
    </row>
    <row r="48" spans="1:5" x14ac:dyDescent="0.25">
      <c r="A48" s="119">
        <f t="shared" si="0"/>
        <v>47</v>
      </c>
      <c r="B48" s="120" t="s">
        <v>190</v>
      </c>
      <c r="C48" s="121">
        <v>0.01</v>
      </c>
      <c r="D48" s="117">
        <v>10200</v>
      </c>
      <c r="E48" s="122">
        <v>102</v>
      </c>
    </row>
    <row r="49" spans="1:5" x14ac:dyDescent="0.25">
      <c r="A49" s="119">
        <f t="shared" si="0"/>
        <v>48</v>
      </c>
      <c r="B49" s="120" t="s">
        <v>191</v>
      </c>
      <c r="C49" s="121">
        <v>0.01</v>
      </c>
      <c r="D49" s="117">
        <v>3050</v>
      </c>
      <c r="E49" s="122">
        <v>30</v>
      </c>
    </row>
    <row r="50" spans="1:5" x14ac:dyDescent="0.25">
      <c r="A50" s="119">
        <f t="shared" si="0"/>
        <v>49</v>
      </c>
      <c r="B50" s="120" t="s">
        <v>210</v>
      </c>
      <c r="C50" s="121">
        <v>0.01</v>
      </c>
      <c r="D50" s="117">
        <v>3425</v>
      </c>
      <c r="E50" s="122">
        <v>34</v>
      </c>
    </row>
    <row r="51" spans="1:5" x14ac:dyDescent="0.25">
      <c r="A51" s="119">
        <f t="shared" si="0"/>
        <v>50</v>
      </c>
      <c r="B51" s="120" t="s">
        <v>212</v>
      </c>
      <c r="C51" s="121">
        <v>0.01</v>
      </c>
      <c r="D51" s="117">
        <v>2200</v>
      </c>
      <c r="E51" s="122">
        <v>22</v>
      </c>
    </row>
    <row r="52" spans="1:5" x14ac:dyDescent="0.25">
      <c r="A52" s="119">
        <f t="shared" si="0"/>
        <v>51</v>
      </c>
      <c r="B52" s="120" t="s">
        <v>201</v>
      </c>
      <c r="C52" s="121">
        <v>0.01</v>
      </c>
      <c r="D52" s="117">
        <v>7400</v>
      </c>
      <c r="E52" s="122">
        <v>74</v>
      </c>
    </row>
    <row r="53" spans="1:5" x14ac:dyDescent="0.25">
      <c r="A53" s="119">
        <f t="shared" si="0"/>
        <v>52</v>
      </c>
      <c r="B53" s="120" t="s">
        <v>202</v>
      </c>
      <c r="C53" s="121">
        <v>0.01</v>
      </c>
      <c r="D53" s="117">
        <v>700</v>
      </c>
      <c r="E53" s="122">
        <v>7</v>
      </c>
    </row>
    <row r="54" spans="1:5" x14ac:dyDescent="0.25">
      <c r="A54" s="119">
        <f t="shared" si="0"/>
        <v>53</v>
      </c>
      <c r="B54" s="120" t="s">
        <v>213</v>
      </c>
      <c r="C54" s="121">
        <v>0.01</v>
      </c>
      <c r="D54" s="117">
        <v>1950</v>
      </c>
      <c r="E54" s="122">
        <v>20</v>
      </c>
    </row>
    <row r="55" spans="1:5" x14ac:dyDescent="0.25">
      <c r="A55" s="119">
        <f t="shared" si="0"/>
        <v>54</v>
      </c>
      <c r="B55" s="120" t="s">
        <v>214</v>
      </c>
      <c r="C55" s="121">
        <v>0.01</v>
      </c>
      <c r="D55" s="117">
        <v>18800</v>
      </c>
      <c r="E55" s="122">
        <v>188</v>
      </c>
    </row>
    <row r="56" spans="1:5" x14ac:dyDescent="0.25">
      <c r="A56" s="119">
        <f t="shared" si="0"/>
        <v>55</v>
      </c>
      <c r="B56" s="120" t="s">
        <v>208</v>
      </c>
      <c r="C56" s="121">
        <v>0.01</v>
      </c>
      <c r="D56" s="124">
        <v>50000</v>
      </c>
      <c r="E56" s="122">
        <v>500</v>
      </c>
    </row>
    <row r="57" spans="1:5" x14ac:dyDescent="0.25">
      <c r="A57" s="119"/>
      <c r="B57" s="125" t="s">
        <v>44</v>
      </c>
      <c r="C57" s="121"/>
      <c r="D57" s="126">
        <f>SUM(D2:D56)</f>
        <v>821460</v>
      </c>
      <c r="E57" s="127">
        <f>SUM(E2:E56)</f>
        <v>8236</v>
      </c>
    </row>
    <row r="58" spans="1:5" x14ac:dyDescent="0.25">
      <c r="A58" s="128" t="s">
        <v>215</v>
      </c>
      <c r="B58" s="116" t="s">
        <v>216</v>
      </c>
      <c r="C58" s="116" t="s">
        <v>217</v>
      </c>
      <c r="D58" s="117" t="s">
        <v>218</v>
      </c>
      <c r="E58" s="117" t="s">
        <v>219</v>
      </c>
    </row>
    <row r="59" spans="1:5" x14ac:dyDescent="0.25">
      <c r="A59" s="129"/>
      <c r="B59" s="120"/>
      <c r="C59" s="130"/>
      <c r="D59" s="124"/>
      <c r="E59" s="131"/>
    </row>
    <row r="60" spans="1:5" x14ac:dyDescent="0.25">
      <c r="A60" s="129">
        <v>1</v>
      </c>
      <c r="B60" s="120" t="s">
        <v>220</v>
      </c>
      <c r="C60" s="130">
        <v>0.1</v>
      </c>
      <c r="D60" s="124">
        <v>52500</v>
      </c>
      <c r="E60" s="122">
        <v>5250</v>
      </c>
    </row>
    <row r="61" spans="1:5" x14ac:dyDescent="0.25">
      <c r="A61" s="129">
        <f>A60+1</f>
        <v>2</v>
      </c>
      <c r="B61" s="120" t="s">
        <v>221</v>
      </c>
      <c r="C61" s="130">
        <v>0.1</v>
      </c>
      <c r="D61" s="124">
        <v>62016</v>
      </c>
      <c r="E61" s="122">
        <v>6202</v>
      </c>
    </row>
    <row r="62" spans="1:5" x14ac:dyDescent="0.25">
      <c r="A62" s="129">
        <f t="shared" ref="A62:A75" si="1">A61+1</f>
        <v>3</v>
      </c>
      <c r="B62" s="120" t="s">
        <v>222</v>
      </c>
      <c r="C62" s="130">
        <v>0.1</v>
      </c>
      <c r="D62" s="124">
        <v>93024</v>
      </c>
      <c r="E62" s="122">
        <v>9302</v>
      </c>
    </row>
    <row r="63" spans="1:5" x14ac:dyDescent="0.25">
      <c r="A63" s="129">
        <f t="shared" si="1"/>
        <v>4</v>
      </c>
      <c r="B63" s="120" t="s">
        <v>221</v>
      </c>
      <c r="C63" s="130">
        <v>0.1</v>
      </c>
      <c r="D63" s="124">
        <v>31000</v>
      </c>
      <c r="E63" s="122">
        <v>3100</v>
      </c>
    </row>
    <row r="64" spans="1:5" x14ac:dyDescent="0.25">
      <c r="A64" s="129">
        <f t="shared" si="1"/>
        <v>5</v>
      </c>
      <c r="B64" s="120" t="s">
        <v>223</v>
      </c>
      <c r="C64" s="130">
        <v>0.1</v>
      </c>
      <c r="D64" s="117">
        <v>69813</v>
      </c>
      <c r="E64" s="122">
        <v>6981</v>
      </c>
    </row>
    <row r="65" spans="1:5" x14ac:dyDescent="0.25">
      <c r="A65" s="129">
        <f t="shared" si="1"/>
        <v>6</v>
      </c>
      <c r="B65" s="120" t="s">
        <v>221</v>
      </c>
      <c r="C65" s="130">
        <v>0.1</v>
      </c>
      <c r="D65" s="117">
        <v>18500</v>
      </c>
      <c r="E65" s="122">
        <v>1850</v>
      </c>
    </row>
    <row r="66" spans="1:5" x14ac:dyDescent="0.25">
      <c r="A66" s="129">
        <f t="shared" si="1"/>
        <v>7</v>
      </c>
      <c r="B66" s="120" t="s">
        <v>221</v>
      </c>
      <c r="C66" s="130">
        <v>0.1</v>
      </c>
      <c r="D66" s="117">
        <v>7700</v>
      </c>
      <c r="E66" s="122">
        <v>770</v>
      </c>
    </row>
    <row r="67" spans="1:5" x14ac:dyDescent="0.25">
      <c r="A67" s="129">
        <f t="shared" si="1"/>
        <v>8</v>
      </c>
      <c r="B67" s="120" t="s">
        <v>224</v>
      </c>
      <c r="C67" s="130">
        <v>0.1</v>
      </c>
      <c r="D67" s="117">
        <v>15000</v>
      </c>
      <c r="E67" s="122">
        <v>1500</v>
      </c>
    </row>
    <row r="68" spans="1:5" x14ac:dyDescent="0.25">
      <c r="A68" s="129">
        <f t="shared" si="1"/>
        <v>9</v>
      </c>
      <c r="B68" s="120" t="s">
        <v>222</v>
      </c>
      <c r="C68" s="130">
        <v>0.1</v>
      </c>
      <c r="D68" s="117">
        <v>93024</v>
      </c>
      <c r="E68" s="122">
        <v>9302</v>
      </c>
    </row>
    <row r="69" spans="1:5" x14ac:dyDescent="0.25">
      <c r="A69" s="129">
        <f t="shared" si="1"/>
        <v>10</v>
      </c>
      <c r="B69" s="120" t="s">
        <v>221</v>
      </c>
      <c r="C69" s="130">
        <v>0.1</v>
      </c>
      <c r="D69" s="117">
        <v>32000</v>
      </c>
      <c r="E69" s="122">
        <v>3200</v>
      </c>
    </row>
    <row r="70" spans="1:5" x14ac:dyDescent="0.25">
      <c r="A70" s="129">
        <f t="shared" si="1"/>
        <v>11</v>
      </c>
      <c r="B70" s="120" t="s">
        <v>221</v>
      </c>
      <c r="C70" s="130">
        <v>0.1</v>
      </c>
      <c r="D70" s="117">
        <v>3447</v>
      </c>
      <c r="E70" s="122">
        <v>345</v>
      </c>
    </row>
    <row r="71" spans="1:5" x14ac:dyDescent="0.25">
      <c r="A71" s="129">
        <f t="shared" si="1"/>
        <v>12</v>
      </c>
      <c r="B71" s="120" t="s">
        <v>221</v>
      </c>
      <c r="C71" s="130">
        <v>0.1</v>
      </c>
      <c r="D71" s="117">
        <v>4720</v>
      </c>
      <c r="E71" s="122">
        <v>472</v>
      </c>
    </row>
    <row r="72" spans="1:5" x14ac:dyDescent="0.25">
      <c r="A72" s="129">
        <f t="shared" si="1"/>
        <v>13</v>
      </c>
      <c r="B72" s="120" t="s">
        <v>221</v>
      </c>
      <c r="C72" s="130">
        <v>0.1</v>
      </c>
      <c r="D72" s="117">
        <v>1200</v>
      </c>
      <c r="E72" s="122">
        <v>120</v>
      </c>
    </row>
    <row r="73" spans="1:5" x14ac:dyDescent="0.25">
      <c r="A73" s="129">
        <f t="shared" si="1"/>
        <v>14</v>
      </c>
      <c r="B73" s="120" t="s">
        <v>221</v>
      </c>
      <c r="C73" s="130">
        <v>0.1</v>
      </c>
      <c r="D73" s="117">
        <v>62016</v>
      </c>
      <c r="E73" s="122">
        <v>6202</v>
      </c>
    </row>
    <row r="74" spans="1:5" x14ac:dyDescent="0.25">
      <c r="A74" s="129">
        <f t="shared" si="1"/>
        <v>15</v>
      </c>
      <c r="B74" s="120" t="s">
        <v>221</v>
      </c>
      <c r="C74" s="130">
        <v>0.1</v>
      </c>
      <c r="D74" s="117">
        <v>4085</v>
      </c>
      <c r="E74" s="122">
        <v>409</v>
      </c>
    </row>
    <row r="75" spans="1:5" x14ac:dyDescent="0.25">
      <c r="A75" s="129">
        <f t="shared" si="1"/>
        <v>16</v>
      </c>
      <c r="B75" s="120" t="s">
        <v>221</v>
      </c>
      <c r="C75" s="130">
        <v>0.1</v>
      </c>
      <c r="D75" s="117">
        <v>95520</v>
      </c>
      <c r="E75" s="122">
        <v>9552</v>
      </c>
    </row>
    <row r="76" spans="1:5" ht="15.75" thickBot="1" x14ac:dyDescent="0.3">
      <c r="A76" s="128"/>
      <c r="B76" s="132" t="s">
        <v>44</v>
      </c>
      <c r="C76" s="133"/>
      <c r="D76" s="134">
        <f>SUM(D60:D75)</f>
        <v>645565</v>
      </c>
      <c r="E76" s="134">
        <f>SUM(E60:E75)</f>
        <v>64557</v>
      </c>
    </row>
    <row r="77" spans="1:5" ht="15.75" thickTop="1" x14ac:dyDescent="0.25">
      <c r="A77" s="128"/>
      <c r="B77" s="116"/>
      <c r="C77" s="133"/>
      <c r="D77" s="117"/>
      <c r="E77" s="122"/>
    </row>
    <row r="78" spans="1:5" x14ac:dyDescent="0.25">
      <c r="A78" s="128" t="s">
        <v>215</v>
      </c>
      <c r="B78" s="116" t="s">
        <v>216</v>
      </c>
      <c r="C78" s="116" t="s">
        <v>217</v>
      </c>
      <c r="D78" s="117" t="s">
        <v>218</v>
      </c>
      <c r="E78" s="117" t="s">
        <v>219</v>
      </c>
    </row>
    <row r="79" spans="1:5" x14ac:dyDescent="0.25">
      <c r="A79" s="128"/>
      <c r="B79" s="116"/>
      <c r="C79" s="133"/>
      <c r="D79" s="117"/>
      <c r="E79" s="122"/>
    </row>
    <row r="80" spans="1:5" x14ac:dyDescent="0.25">
      <c r="A80" s="128">
        <v>1</v>
      </c>
      <c r="B80" s="120" t="s">
        <v>225</v>
      </c>
      <c r="C80" s="133">
        <v>0.02</v>
      </c>
      <c r="D80" s="117">
        <v>23795</v>
      </c>
      <c r="E80" s="122">
        <v>476</v>
      </c>
    </row>
    <row r="81" spans="1:5" x14ac:dyDescent="0.25">
      <c r="A81" s="128">
        <f>A80+1</f>
        <v>2</v>
      </c>
      <c r="B81" s="120" t="s">
        <v>226</v>
      </c>
      <c r="C81" s="133">
        <v>0.02</v>
      </c>
      <c r="D81" s="117">
        <v>3500</v>
      </c>
      <c r="E81" s="122">
        <v>70</v>
      </c>
    </row>
    <row r="82" spans="1:5" x14ac:dyDescent="0.25">
      <c r="A82" s="128">
        <f t="shared" ref="A82:A104" si="2">A81+1</f>
        <v>3</v>
      </c>
      <c r="B82" s="120" t="s">
        <v>199</v>
      </c>
      <c r="C82" s="133">
        <v>0.02</v>
      </c>
      <c r="D82" s="117">
        <v>7000</v>
      </c>
      <c r="E82" s="122">
        <v>14</v>
      </c>
    </row>
    <row r="83" spans="1:5" x14ac:dyDescent="0.25">
      <c r="A83" s="128">
        <f t="shared" si="2"/>
        <v>4</v>
      </c>
      <c r="B83" s="120" t="s">
        <v>227</v>
      </c>
      <c r="C83" s="133">
        <v>0.02</v>
      </c>
      <c r="D83" s="117">
        <v>18400</v>
      </c>
      <c r="E83" s="122">
        <v>368</v>
      </c>
    </row>
    <row r="84" spans="1:5" x14ac:dyDescent="0.25">
      <c r="A84" s="128">
        <f t="shared" si="2"/>
        <v>5</v>
      </c>
      <c r="B84" s="120" t="s">
        <v>228</v>
      </c>
      <c r="C84" s="133">
        <v>0.02</v>
      </c>
      <c r="D84" s="117">
        <v>1800</v>
      </c>
      <c r="E84" s="122">
        <v>36</v>
      </c>
    </row>
    <row r="85" spans="1:5" x14ac:dyDescent="0.25">
      <c r="A85" s="128">
        <f t="shared" si="2"/>
        <v>6</v>
      </c>
      <c r="B85" s="120" t="s">
        <v>229</v>
      </c>
      <c r="C85" s="133">
        <v>0.02</v>
      </c>
      <c r="D85" s="117">
        <v>1800</v>
      </c>
      <c r="E85" s="122">
        <v>36</v>
      </c>
    </row>
    <row r="86" spans="1:5" x14ac:dyDescent="0.25">
      <c r="A86" s="128">
        <f t="shared" si="2"/>
        <v>7</v>
      </c>
      <c r="B86" s="120" t="s">
        <v>230</v>
      </c>
      <c r="C86" s="133">
        <v>0.02</v>
      </c>
      <c r="D86" s="117">
        <v>4662</v>
      </c>
      <c r="E86" s="122">
        <v>93</v>
      </c>
    </row>
    <row r="87" spans="1:5" x14ac:dyDescent="0.25">
      <c r="A87" s="128">
        <f t="shared" si="2"/>
        <v>8</v>
      </c>
      <c r="B87" s="120" t="s">
        <v>230</v>
      </c>
      <c r="C87" s="133">
        <v>0.02</v>
      </c>
      <c r="D87" s="117">
        <v>9450</v>
      </c>
      <c r="E87" s="122">
        <v>189</v>
      </c>
    </row>
    <row r="88" spans="1:5" x14ac:dyDescent="0.25">
      <c r="A88" s="128">
        <f t="shared" si="2"/>
        <v>9</v>
      </c>
      <c r="B88" s="120" t="s">
        <v>225</v>
      </c>
      <c r="C88" s="133">
        <v>0.02</v>
      </c>
      <c r="D88" s="117">
        <v>29340</v>
      </c>
      <c r="E88" s="122">
        <v>587</v>
      </c>
    </row>
    <row r="89" spans="1:5" x14ac:dyDescent="0.25">
      <c r="A89" s="128">
        <f t="shared" si="2"/>
        <v>10</v>
      </c>
      <c r="B89" s="120" t="s">
        <v>226</v>
      </c>
      <c r="C89" s="133">
        <v>0.02</v>
      </c>
      <c r="D89" s="135">
        <v>2800</v>
      </c>
      <c r="E89" s="122">
        <v>56</v>
      </c>
    </row>
    <row r="90" spans="1:5" x14ac:dyDescent="0.25">
      <c r="A90" s="128">
        <f t="shared" si="2"/>
        <v>11</v>
      </c>
      <c r="B90" s="120" t="s">
        <v>199</v>
      </c>
      <c r="C90" s="133">
        <v>0.02</v>
      </c>
      <c r="D90" s="117">
        <v>2100</v>
      </c>
      <c r="E90" s="122">
        <v>42</v>
      </c>
    </row>
    <row r="91" spans="1:5" x14ac:dyDescent="0.25">
      <c r="A91" s="128">
        <f t="shared" si="2"/>
        <v>12</v>
      </c>
      <c r="B91" s="120" t="s">
        <v>225</v>
      </c>
      <c r="C91" s="133">
        <v>0.02</v>
      </c>
      <c r="D91" s="117">
        <v>26990</v>
      </c>
      <c r="E91" s="122">
        <v>540</v>
      </c>
    </row>
    <row r="92" spans="1:5" x14ac:dyDescent="0.25">
      <c r="A92" s="128">
        <f t="shared" si="2"/>
        <v>13</v>
      </c>
      <c r="B92" s="120" t="s">
        <v>225</v>
      </c>
      <c r="C92" s="133">
        <v>0.02</v>
      </c>
      <c r="D92" s="117">
        <v>13635</v>
      </c>
      <c r="E92" s="122">
        <v>273</v>
      </c>
    </row>
    <row r="93" spans="1:5" x14ac:dyDescent="0.25">
      <c r="A93" s="128">
        <f t="shared" si="2"/>
        <v>14</v>
      </c>
      <c r="B93" s="120" t="s">
        <v>231</v>
      </c>
      <c r="C93" s="133">
        <v>0.02</v>
      </c>
      <c r="D93" s="117">
        <v>16443</v>
      </c>
      <c r="E93" s="122">
        <v>329</v>
      </c>
    </row>
    <row r="94" spans="1:5" x14ac:dyDescent="0.25">
      <c r="A94" s="128">
        <f t="shared" si="2"/>
        <v>15</v>
      </c>
      <c r="B94" s="120" t="s">
        <v>232</v>
      </c>
      <c r="C94" s="133">
        <v>0.02</v>
      </c>
      <c r="D94" s="117">
        <v>18100</v>
      </c>
      <c r="E94" s="122">
        <v>362</v>
      </c>
    </row>
    <row r="95" spans="1:5" x14ac:dyDescent="0.25">
      <c r="A95" s="128">
        <f t="shared" si="2"/>
        <v>16</v>
      </c>
      <c r="B95" s="120" t="s">
        <v>232</v>
      </c>
      <c r="C95" s="133">
        <v>0.02</v>
      </c>
      <c r="D95" s="117">
        <v>25100</v>
      </c>
      <c r="E95" s="122">
        <v>502</v>
      </c>
    </row>
    <row r="96" spans="1:5" x14ac:dyDescent="0.25">
      <c r="A96" s="128">
        <f t="shared" si="2"/>
        <v>17</v>
      </c>
      <c r="B96" s="120" t="s">
        <v>231</v>
      </c>
      <c r="C96" s="133">
        <v>0.02</v>
      </c>
      <c r="D96" s="117">
        <v>16012</v>
      </c>
      <c r="E96" s="122">
        <v>320</v>
      </c>
    </row>
    <row r="97" spans="1:5" x14ac:dyDescent="0.25">
      <c r="A97" s="128">
        <f t="shared" si="2"/>
        <v>18</v>
      </c>
      <c r="B97" s="120" t="s">
        <v>226</v>
      </c>
      <c r="C97" s="133">
        <v>0.02</v>
      </c>
      <c r="D97" s="117">
        <v>4200</v>
      </c>
      <c r="E97" s="122">
        <v>84</v>
      </c>
    </row>
    <row r="98" spans="1:5" x14ac:dyDescent="0.25">
      <c r="A98" s="128">
        <f t="shared" si="2"/>
        <v>19</v>
      </c>
      <c r="B98" s="120" t="s">
        <v>225</v>
      </c>
      <c r="C98" s="133">
        <v>0.02</v>
      </c>
      <c r="D98" s="117">
        <v>14670</v>
      </c>
      <c r="E98" s="122">
        <v>294</v>
      </c>
    </row>
    <row r="99" spans="1:5" x14ac:dyDescent="0.25">
      <c r="A99" s="128">
        <f t="shared" si="2"/>
        <v>20</v>
      </c>
      <c r="B99" s="120" t="s">
        <v>226</v>
      </c>
      <c r="C99" s="133">
        <v>0.02</v>
      </c>
      <c r="D99" s="117">
        <v>700</v>
      </c>
      <c r="E99" s="122">
        <v>14</v>
      </c>
    </row>
    <row r="100" spans="1:5" x14ac:dyDescent="0.25">
      <c r="A100" s="128">
        <f t="shared" si="2"/>
        <v>21</v>
      </c>
      <c r="B100" s="120" t="s">
        <v>199</v>
      </c>
      <c r="C100" s="133">
        <v>0.02</v>
      </c>
      <c r="D100" s="117">
        <v>1400</v>
      </c>
      <c r="E100" s="122">
        <v>28</v>
      </c>
    </row>
    <row r="101" spans="1:5" x14ac:dyDescent="0.25">
      <c r="A101" s="128">
        <f t="shared" si="2"/>
        <v>22</v>
      </c>
      <c r="B101" s="120" t="s">
        <v>233</v>
      </c>
      <c r="C101" s="133">
        <v>0.02</v>
      </c>
      <c r="D101" s="135">
        <v>2700</v>
      </c>
      <c r="E101" s="122">
        <v>54</v>
      </c>
    </row>
    <row r="102" spans="1:5" x14ac:dyDescent="0.25">
      <c r="A102" s="128">
        <f t="shared" si="2"/>
        <v>23</v>
      </c>
      <c r="B102" s="120" t="s">
        <v>226</v>
      </c>
      <c r="C102" s="133">
        <v>0.02</v>
      </c>
      <c r="D102" s="117">
        <v>4200</v>
      </c>
      <c r="E102" s="122">
        <v>84</v>
      </c>
    </row>
    <row r="103" spans="1:5" x14ac:dyDescent="0.25">
      <c r="A103" s="128">
        <f t="shared" si="2"/>
        <v>24</v>
      </c>
      <c r="B103" s="120" t="s">
        <v>233</v>
      </c>
      <c r="C103" s="133">
        <v>0.02</v>
      </c>
      <c r="D103" s="117">
        <v>5490</v>
      </c>
      <c r="E103" s="122">
        <v>110</v>
      </c>
    </row>
    <row r="104" spans="1:5" x14ac:dyDescent="0.25">
      <c r="A104" s="128">
        <f t="shared" si="2"/>
        <v>25</v>
      </c>
      <c r="B104" s="120" t="s">
        <v>233</v>
      </c>
      <c r="C104" s="133">
        <v>0.02</v>
      </c>
      <c r="D104" s="117">
        <v>2700</v>
      </c>
      <c r="E104" s="122">
        <v>54</v>
      </c>
    </row>
    <row r="105" spans="1:5" ht="15.75" thickBot="1" x14ac:dyDescent="0.3">
      <c r="A105" s="128"/>
      <c r="B105" s="116" t="s">
        <v>44</v>
      </c>
      <c r="C105" s="116"/>
      <c r="D105" s="134">
        <f>SUM(D80:D104)</f>
        <v>256987</v>
      </c>
      <c r="E105" s="134">
        <f>SUM(E80:E104)</f>
        <v>5015</v>
      </c>
    </row>
    <row r="106" spans="1:5" ht="15.75" thickTop="1" x14ac:dyDescent="0.25"/>
  </sheetData>
  <hyperlinks>
    <hyperlink ref="B1" r:id="rId1" display="Contractors@1%" xr:uid="{4CC8FBE1-6FAA-4C55-B171-C9388AAEBE05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30"/>
  <sheetViews>
    <sheetView workbookViewId="0">
      <selection activeCell="H175" sqref="H175"/>
    </sheetView>
  </sheetViews>
  <sheetFormatPr defaultRowHeight="12.75" x14ac:dyDescent="0.2"/>
  <cols>
    <col min="1" max="1" width="7.42578125" style="27" customWidth="1"/>
    <col min="2" max="3" width="7.140625" style="20" customWidth="1"/>
    <col min="4" max="5" width="9.5703125" style="20" customWidth="1"/>
    <col min="6" max="6" width="9.5703125" style="21" customWidth="1"/>
    <col min="7" max="8" width="11.7109375" style="21" customWidth="1"/>
    <col min="9" max="9" width="11.7109375" style="23" customWidth="1"/>
    <col min="10" max="16384" width="9.140625" style="20"/>
  </cols>
  <sheetData>
    <row r="1" spans="1:11" x14ac:dyDescent="0.2">
      <c r="A1" s="19" t="s">
        <v>0</v>
      </c>
      <c r="D1" s="19" t="s">
        <v>1</v>
      </c>
      <c r="G1" s="19" t="s">
        <v>2</v>
      </c>
      <c r="H1" s="19" t="s">
        <v>3</v>
      </c>
      <c r="I1" s="20"/>
    </row>
    <row r="2" spans="1:11" x14ac:dyDescent="0.2">
      <c r="A2" s="19" t="s">
        <v>4</v>
      </c>
      <c r="D2" s="19" t="s">
        <v>5</v>
      </c>
      <c r="G2" s="19" t="s">
        <v>6</v>
      </c>
      <c r="H2" s="22">
        <v>44561</v>
      </c>
      <c r="I2" s="20"/>
    </row>
    <row r="3" spans="1:11" x14ac:dyDescent="0.2">
      <c r="A3" s="19" t="s">
        <v>23</v>
      </c>
      <c r="E3" s="19"/>
    </row>
    <row r="5" spans="1:11" s="26" customFormat="1" ht="51" x14ac:dyDescent="0.2">
      <c r="A5" s="24" t="s">
        <v>24</v>
      </c>
      <c r="B5" s="24" t="s">
        <v>25</v>
      </c>
      <c r="C5" s="24" t="s">
        <v>26</v>
      </c>
      <c r="D5" s="24" t="s">
        <v>27</v>
      </c>
      <c r="E5" s="24" t="s">
        <v>28</v>
      </c>
      <c r="F5" s="25" t="s">
        <v>29</v>
      </c>
      <c r="G5" s="25" t="s">
        <v>30</v>
      </c>
      <c r="H5" s="25" t="s">
        <v>31</v>
      </c>
      <c r="I5" s="25" t="s">
        <v>32</v>
      </c>
    </row>
    <row r="6" spans="1:11" x14ac:dyDescent="0.2">
      <c r="A6" s="27">
        <v>1</v>
      </c>
      <c r="B6" s="2" t="s">
        <v>33</v>
      </c>
      <c r="C6" s="2">
        <v>102</v>
      </c>
      <c r="D6" s="28">
        <v>945</v>
      </c>
      <c r="E6" s="29">
        <v>1089</v>
      </c>
      <c r="F6" s="29">
        <v>1360</v>
      </c>
      <c r="G6" s="30">
        <v>69.13</v>
      </c>
      <c r="H6" s="20" t="s">
        <v>34</v>
      </c>
      <c r="I6" s="23" t="s">
        <v>35</v>
      </c>
      <c r="K6" s="1"/>
    </row>
    <row r="7" spans="1:11" x14ac:dyDescent="0.2">
      <c r="A7" s="27">
        <v>2</v>
      </c>
      <c r="B7" s="2" t="s">
        <v>33</v>
      </c>
      <c r="C7" s="2">
        <v>103</v>
      </c>
      <c r="D7" s="28">
        <v>945</v>
      </c>
      <c r="E7" s="29">
        <v>1089</v>
      </c>
      <c r="F7" s="29">
        <v>1360</v>
      </c>
      <c r="G7" s="30">
        <v>69.13</v>
      </c>
      <c r="H7" s="20" t="s">
        <v>34</v>
      </c>
      <c r="I7" s="23" t="s">
        <v>35</v>
      </c>
      <c r="K7" s="1"/>
    </row>
    <row r="8" spans="1:11" x14ac:dyDescent="0.2">
      <c r="A8" s="27">
        <v>3</v>
      </c>
      <c r="B8" s="2" t="s">
        <v>33</v>
      </c>
      <c r="C8" s="2">
        <v>105</v>
      </c>
      <c r="D8" s="28">
        <v>945</v>
      </c>
      <c r="E8" s="29">
        <v>1089</v>
      </c>
      <c r="F8" s="29">
        <v>1360</v>
      </c>
      <c r="G8" s="30">
        <v>69.13</v>
      </c>
      <c r="H8" s="20" t="s">
        <v>34</v>
      </c>
      <c r="I8" s="23" t="s">
        <v>35</v>
      </c>
      <c r="K8" s="1"/>
    </row>
    <row r="9" spans="1:11" x14ac:dyDescent="0.2">
      <c r="A9" s="27">
        <v>4</v>
      </c>
      <c r="B9" s="2" t="s">
        <v>33</v>
      </c>
      <c r="C9" s="2">
        <v>106</v>
      </c>
      <c r="D9" s="28">
        <v>945</v>
      </c>
      <c r="E9" s="29">
        <v>1089</v>
      </c>
      <c r="F9" s="29">
        <v>1360</v>
      </c>
      <c r="G9" s="30">
        <v>69.13</v>
      </c>
      <c r="H9" s="20" t="s">
        <v>34</v>
      </c>
      <c r="I9" s="23" t="s">
        <v>35</v>
      </c>
      <c r="K9" s="1"/>
    </row>
    <row r="10" spans="1:11" x14ac:dyDescent="0.2">
      <c r="A10" s="27">
        <v>5</v>
      </c>
      <c r="B10" s="2" t="s">
        <v>33</v>
      </c>
      <c r="C10" s="2">
        <v>108</v>
      </c>
      <c r="D10" s="28">
        <v>945</v>
      </c>
      <c r="E10" s="29">
        <v>1089</v>
      </c>
      <c r="F10" s="29">
        <v>1360</v>
      </c>
      <c r="G10" s="30">
        <v>69.13</v>
      </c>
      <c r="H10" s="20" t="s">
        <v>34</v>
      </c>
      <c r="I10" s="23" t="s">
        <v>35</v>
      </c>
      <c r="K10" s="1"/>
    </row>
    <row r="11" spans="1:11" x14ac:dyDescent="0.2">
      <c r="A11" s="27">
        <v>6</v>
      </c>
      <c r="B11" s="2" t="s">
        <v>33</v>
      </c>
      <c r="C11" s="2">
        <v>109</v>
      </c>
      <c r="D11" s="28">
        <v>945</v>
      </c>
      <c r="E11" s="29">
        <v>1089</v>
      </c>
      <c r="F11" s="29">
        <v>1360</v>
      </c>
      <c r="G11" s="30">
        <v>69.13</v>
      </c>
      <c r="H11" s="20" t="s">
        <v>34</v>
      </c>
      <c r="I11" s="23" t="s">
        <v>35</v>
      </c>
      <c r="K11" s="1"/>
    </row>
    <row r="12" spans="1:11" x14ac:dyDescent="0.2">
      <c r="A12" s="27">
        <v>7</v>
      </c>
      <c r="B12" s="2" t="s">
        <v>33</v>
      </c>
      <c r="C12" s="2">
        <v>202</v>
      </c>
      <c r="D12" s="28">
        <v>945</v>
      </c>
      <c r="E12" s="29">
        <v>1089</v>
      </c>
      <c r="F12" s="29">
        <v>1360</v>
      </c>
      <c r="G12" s="30">
        <v>69.13</v>
      </c>
      <c r="H12" s="20" t="s">
        <v>34</v>
      </c>
      <c r="I12" s="23" t="s">
        <v>35</v>
      </c>
      <c r="K12" s="1"/>
    </row>
    <row r="13" spans="1:11" x14ac:dyDescent="0.2">
      <c r="A13" s="27">
        <v>8</v>
      </c>
      <c r="B13" s="2" t="s">
        <v>33</v>
      </c>
      <c r="C13" s="2">
        <v>203</v>
      </c>
      <c r="D13" s="28">
        <v>945</v>
      </c>
      <c r="E13" s="29">
        <v>1089</v>
      </c>
      <c r="F13" s="29">
        <v>1360</v>
      </c>
      <c r="G13" s="30">
        <v>69.13</v>
      </c>
      <c r="H13" s="20" t="s">
        <v>34</v>
      </c>
      <c r="I13" s="23" t="s">
        <v>35</v>
      </c>
      <c r="K13" s="1"/>
    </row>
    <row r="14" spans="1:11" x14ac:dyDescent="0.2">
      <c r="A14" s="27">
        <v>9</v>
      </c>
      <c r="B14" s="2" t="s">
        <v>33</v>
      </c>
      <c r="C14" s="2">
        <v>206</v>
      </c>
      <c r="D14" s="28">
        <v>945</v>
      </c>
      <c r="E14" s="29">
        <v>1089</v>
      </c>
      <c r="F14" s="29">
        <v>1360</v>
      </c>
      <c r="G14" s="30">
        <v>69.13</v>
      </c>
      <c r="H14" s="20" t="s">
        <v>34</v>
      </c>
      <c r="I14" s="23" t="s">
        <v>35</v>
      </c>
      <c r="K14" s="1"/>
    </row>
    <row r="15" spans="1:11" x14ac:dyDescent="0.2">
      <c r="A15" s="27">
        <v>10</v>
      </c>
      <c r="B15" s="2" t="s">
        <v>33</v>
      </c>
      <c r="C15" s="2">
        <v>208</v>
      </c>
      <c r="D15" s="28">
        <v>945</v>
      </c>
      <c r="E15" s="29">
        <v>1089</v>
      </c>
      <c r="F15" s="29">
        <v>1360</v>
      </c>
      <c r="G15" s="30">
        <v>69.13</v>
      </c>
      <c r="H15" s="20" t="s">
        <v>34</v>
      </c>
      <c r="I15" s="23" t="s">
        <v>35</v>
      </c>
      <c r="K15" s="1"/>
    </row>
    <row r="16" spans="1:11" x14ac:dyDescent="0.2">
      <c r="A16" s="27">
        <v>11</v>
      </c>
      <c r="B16" s="2" t="s">
        <v>33</v>
      </c>
      <c r="C16" s="2">
        <v>209</v>
      </c>
      <c r="D16" s="28">
        <v>945</v>
      </c>
      <c r="E16" s="29">
        <v>1089</v>
      </c>
      <c r="F16" s="29">
        <v>1360</v>
      </c>
      <c r="G16" s="30">
        <v>69.13</v>
      </c>
      <c r="H16" s="20" t="s">
        <v>34</v>
      </c>
      <c r="I16" s="23" t="s">
        <v>35</v>
      </c>
      <c r="K16" s="1"/>
    </row>
    <row r="17" spans="1:11" x14ac:dyDescent="0.2">
      <c r="A17" s="27">
        <v>12</v>
      </c>
      <c r="B17" s="2" t="s">
        <v>33</v>
      </c>
      <c r="C17" s="2">
        <v>302</v>
      </c>
      <c r="D17" s="28">
        <v>945</v>
      </c>
      <c r="E17" s="29">
        <v>1089</v>
      </c>
      <c r="F17" s="29">
        <v>1360</v>
      </c>
      <c r="G17" s="30">
        <v>69.13</v>
      </c>
      <c r="H17" s="20" t="s">
        <v>34</v>
      </c>
      <c r="I17" s="23" t="s">
        <v>35</v>
      </c>
      <c r="K17" s="1"/>
    </row>
    <row r="18" spans="1:11" x14ac:dyDescent="0.2">
      <c r="A18" s="27">
        <v>13</v>
      </c>
      <c r="B18" s="2" t="s">
        <v>33</v>
      </c>
      <c r="C18" s="2">
        <v>303</v>
      </c>
      <c r="D18" s="28">
        <v>945</v>
      </c>
      <c r="E18" s="29">
        <v>1089</v>
      </c>
      <c r="F18" s="29">
        <v>1360</v>
      </c>
      <c r="G18" s="30">
        <v>69.13</v>
      </c>
      <c r="H18" s="20" t="s">
        <v>34</v>
      </c>
      <c r="I18" s="23" t="s">
        <v>35</v>
      </c>
      <c r="K18" s="1"/>
    </row>
    <row r="19" spans="1:11" x14ac:dyDescent="0.2">
      <c r="A19" s="27">
        <v>14</v>
      </c>
      <c r="B19" s="2" t="s">
        <v>33</v>
      </c>
      <c r="C19" s="2">
        <v>305</v>
      </c>
      <c r="D19" s="28">
        <v>945</v>
      </c>
      <c r="E19" s="29">
        <v>1089</v>
      </c>
      <c r="F19" s="29">
        <v>1360</v>
      </c>
      <c r="G19" s="30">
        <v>69.13</v>
      </c>
      <c r="H19" s="20" t="s">
        <v>34</v>
      </c>
      <c r="I19" s="23" t="s">
        <v>35</v>
      </c>
      <c r="K19" s="1"/>
    </row>
    <row r="20" spans="1:11" x14ac:dyDescent="0.2">
      <c r="A20" s="27">
        <v>15</v>
      </c>
      <c r="B20" s="2" t="s">
        <v>33</v>
      </c>
      <c r="C20" s="2">
        <v>306</v>
      </c>
      <c r="D20" s="28">
        <v>945</v>
      </c>
      <c r="E20" s="29">
        <v>1089</v>
      </c>
      <c r="F20" s="29">
        <v>1360</v>
      </c>
      <c r="G20" s="30">
        <v>69.13</v>
      </c>
      <c r="H20" s="20" t="s">
        <v>34</v>
      </c>
      <c r="I20" s="23" t="s">
        <v>35</v>
      </c>
      <c r="K20" s="1"/>
    </row>
    <row r="21" spans="1:11" x14ac:dyDescent="0.2">
      <c r="A21" s="27">
        <v>16</v>
      </c>
      <c r="B21" s="2" t="s">
        <v>33</v>
      </c>
      <c r="C21" s="2">
        <v>308</v>
      </c>
      <c r="D21" s="28">
        <v>945</v>
      </c>
      <c r="E21" s="29">
        <v>1089</v>
      </c>
      <c r="F21" s="29">
        <v>1360</v>
      </c>
      <c r="G21" s="30">
        <v>69.13</v>
      </c>
      <c r="H21" s="20" t="s">
        <v>34</v>
      </c>
      <c r="I21" s="23" t="s">
        <v>35</v>
      </c>
      <c r="K21" s="1"/>
    </row>
    <row r="22" spans="1:11" x14ac:dyDescent="0.2">
      <c r="A22" s="27">
        <v>17</v>
      </c>
      <c r="B22" s="2" t="s">
        <v>33</v>
      </c>
      <c r="C22" s="2">
        <v>309</v>
      </c>
      <c r="D22" s="28">
        <v>945</v>
      </c>
      <c r="E22" s="29">
        <v>1089</v>
      </c>
      <c r="F22" s="29">
        <v>1360</v>
      </c>
      <c r="G22" s="30">
        <v>69.13</v>
      </c>
      <c r="H22" s="20" t="s">
        <v>34</v>
      </c>
      <c r="I22" s="23" t="s">
        <v>35</v>
      </c>
      <c r="K22" s="1"/>
    </row>
    <row r="23" spans="1:11" x14ac:dyDescent="0.2">
      <c r="A23" s="27">
        <v>18</v>
      </c>
      <c r="B23" s="2" t="s">
        <v>33</v>
      </c>
      <c r="C23" s="2">
        <v>402</v>
      </c>
      <c r="D23" s="28">
        <v>945</v>
      </c>
      <c r="E23" s="29">
        <v>1089</v>
      </c>
      <c r="F23" s="29">
        <v>1360</v>
      </c>
      <c r="G23" s="30">
        <v>69.13</v>
      </c>
      <c r="H23" s="20" t="s">
        <v>34</v>
      </c>
      <c r="I23" s="23" t="s">
        <v>35</v>
      </c>
      <c r="K23" s="1"/>
    </row>
    <row r="24" spans="1:11" x14ac:dyDescent="0.2">
      <c r="A24" s="27">
        <v>19</v>
      </c>
      <c r="B24" s="2" t="s">
        <v>33</v>
      </c>
      <c r="C24" s="2">
        <v>403</v>
      </c>
      <c r="D24" s="28">
        <v>945</v>
      </c>
      <c r="E24" s="29">
        <v>1089</v>
      </c>
      <c r="F24" s="29">
        <v>1360</v>
      </c>
      <c r="G24" s="30">
        <v>69.13</v>
      </c>
      <c r="H24" s="20" t="s">
        <v>34</v>
      </c>
      <c r="I24" s="23" t="s">
        <v>35</v>
      </c>
      <c r="K24" s="1"/>
    </row>
    <row r="25" spans="1:11" x14ac:dyDescent="0.2">
      <c r="A25" s="27">
        <v>20</v>
      </c>
      <c r="B25" s="2" t="s">
        <v>33</v>
      </c>
      <c r="C25" s="2">
        <v>405</v>
      </c>
      <c r="D25" s="28">
        <v>945</v>
      </c>
      <c r="E25" s="29">
        <v>1089</v>
      </c>
      <c r="F25" s="29">
        <v>1360</v>
      </c>
      <c r="G25" s="30">
        <v>69.13</v>
      </c>
      <c r="H25" s="20" t="s">
        <v>34</v>
      </c>
      <c r="I25" s="23" t="s">
        <v>35</v>
      </c>
      <c r="K25" s="1"/>
    </row>
    <row r="26" spans="1:11" x14ac:dyDescent="0.2">
      <c r="A26" s="27">
        <v>21</v>
      </c>
      <c r="B26" s="2" t="s">
        <v>33</v>
      </c>
      <c r="C26" s="2">
        <v>406</v>
      </c>
      <c r="D26" s="28">
        <v>945</v>
      </c>
      <c r="E26" s="29">
        <v>1089</v>
      </c>
      <c r="F26" s="29">
        <v>1360</v>
      </c>
      <c r="G26" s="30">
        <v>69.13</v>
      </c>
      <c r="H26" s="20" t="s">
        <v>34</v>
      </c>
      <c r="I26" s="23" t="s">
        <v>35</v>
      </c>
      <c r="K26" s="1"/>
    </row>
    <row r="27" spans="1:11" x14ac:dyDescent="0.2">
      <c r="A27" s="27">
        <v>22</v>
      </c>
      <c r="B27" s="2" t="s">
        <v>33</v>
      </c>
      <c r="C27" s="2">
        <v>408</v>
      </c>
      <c r="D27" s="28">
        <v>945</v>
      </c>
      <c r="E27" s="29">
        <v>1089</v>
      </c>
      <c r="F27" s="29">
        <v>1360</v>
      </c>
      <c r="G27" s="30">
        <v>69.13</v>
      </c>
      <c r="H27" s="20" t="s">
        <v>34</v>
      </c>
      <c r="I27" s="23" t="s">
        <v>35</v>
      </c>
      <c r="K27" s="1"/>
    </row>
    <row r="28" spans="1:11" x14ac:dyDescent="0.2">
      <c r="A28" s="27">
        <v>23</v>
      </c>
      <c r="B28" s="2" t="s">
        <v>33</v>
      </c>
      <c r="C28" s="2">
        <v>409</v>
      </c>
      <c r="D28" s="28">
        <v>945</v>
      </c>
      <c r="E28" s="29">
        <v>1089</v>
      </c>
      <c r="F28" s="29">
        <v>1360</v>
      </c>
      <c r="G28" s="30">
        <v>69.13</v>
      </c>
      <c r="H28" s="20" t="s">
        <v>34</v>
      </c>
      <c r="I28" s="23" t="s">
        <v>35</v>
      </c>
      <c r="K28" s="1"/>
    </row>
    <row r="29" spans="1:11" x14ac:dyDescent="0.2">
      <c r="A29" s="27">
        <v>24</v>
      </c>
      <c r="B29" s="2" t="s">
        <v>33</v>
      </c>
      <c r="C29" s="2">
        <v>502</v>
      </c>
      <c r="D29" s="28">
        <v>945</v>
      </c>
      <c r="E29" s="29">
        <v>1089</v>
      </c>
      <c r="F29" s="29">
        <v>1360</v>
      </c>
      <c r="G29" s="30">
        <v>69.13</v>
      </c>
      <c r="H29" s="20" t="s">
        <v>34</v>
      </c>
      <c r="I29" s="23" t="s">
        <v>35</v>
      </c>
      <c r="K29" s="1"/>
    </row>
    <row r="30" spans="1:11" x14ac:dyDescent="0.2">
      <c r="A30" s="27">
        <v>25</v>
      </c>
      <c r="B30" s="2" t="s">
        <v>33</v>
      </c>
      <c r="C30" s="2">
        <v>503</v>
      </c>
      <c r="D30" s="28">
        <v>945</v>
      </c>
      <c r="E30" s="29">
        <v>1089</v>
      </c>
      <c r="F30" s="29">
        <v>1360</v>
      </c>
      <c r="G30" s="30">
        <v>69.13</v>
      </c>
      <c r="H30" s="20" t="s">
        <v>34</v>
      </c>
      <c r="I30" s="23" t="s">
        <v>35</v>
      </c>
      <c r="K30" s="1"/>
    </row>
    <row r="31" spans="1:11" x14ac:dyDescent="0.2">
      <c r="A31" s="27">
        <v>26</v>
      </c>
      <c r="B31" s="2" t="s">
        <v>33</v>
      </c>
      <c r="C31" s="2">
        <v>505</v>
      </c>
      <c r="D31" s="28">
        <v>945</v>
      </c>
      <c r="E31" s="29">
        <v>1089</v>
      </c>
      <c r="F31" s="29">
        <v>1360</v>
      </c>
      <c r="G31" s="30">
        <v>69.13</v>
      </c>
      <c r="H31" s="20" t="s">
        <v>34</v>
      </c>
      <c r="I31" s="23" t="s">
        <v>35</v>
      </c>
      <c r="K31" s="1"/>
    </row>
    <row r="32" spans="1:11" x14ac:dyDescent="0.2">
      <c r="A32" s="27">
        <v>27</v>
      </c>
      <c r="B32" s="2" t="s">
        <v>33</v>
      </c>
      <c r="C32" s="2">
        <v>506</v>
      </c>
      <c r="D32" s="28">
        <v>945</v>
      </c>
      <c r="E32" s="29">
        <v>1089</v>
      </c>
      <c r="F32" s="29">
        <v>1360</v>
      </c>
      <c r="G32" s="30">
        <v>69.13</v>
      </c>
      <c r="H32" s="20" t="s">
        <v>34</v>
      </c>
      <c r="I32" s="23" t="s">
        <v>35</v>
      </c>
      <c r="K32" s="1"/>
    </row>
    <row r="33" spans="1:11" x14ac:dyDescent="0.2">
      <c r="A33" s="27">
        <v>28</v>
      </c>
      <c r="B33" s="2" t="s">
        <v>33</v>
      </c>
      <c r="C33" s="2">
        <v>508</v>
      </c>
      <c r="D33" s="28">
        <v>945</v>
      </c>
      <c r="E33" s="29">
        <v>1089</v>
      </c>
      <c r="F33" s="29">
        <v>1360</v>
      </c>
      <c r="G33" s="30">
        <v>69.13</v>
      </c>
      <c r="H33" s="20" t="s">
        <v>34</v>
      </c>
      <c r="I33" s="23" t="s">
        <v>35</v>
      </c>
      <c r="K33" s="1"/>
    </row>
    <row r="34" spans="1:11" x14ac:dyDescent="0.2">
      <c r="A34" s="27">
        <v>29</v>
      </c>
      <c r="B34" s="2" t="s">
        <v>33</v>
      </c>
      <c r="C34" s="2">
        <v>509</v>
      </c>
      <c r="D34" s="28">
        <v>945</v>
      </c>
      <c r="E34" s="29">
        <v>1089</v>
      </c>
      <c r="F34" s="29">
        <v>1360</v>
      </c>
      <c r="G34" s="30">
        <v>69.13</v>
      </c>
      <c r="H34" s="20" t="s">
        <v>34</v>
      </c>
      <c r="I34" s="23" t="s">
        <v>35</v>
      </c>
      <c r="K34" s="1"/>
    </row>
    <row r="35" spans="1:11" x14ac:dyDescent="0.2">
      <c r="A35" s="27">
        <v>30</v>
      </c>
      <c r="B35" s="2" t="s">
        <v>36</v>
      </c>
      <c r="C35" s="2">
        <v>102</v>
      </c>
      <c r="D35" s="28">
        <v>1185</v>
      </c>
      <c r="E35" s="29">
        <v>1329</v>
      </c>
      <c r="F35" s="29">
        <v>1660</v>
      </c>
      <c r="G35" s="30">
        <v>84.38</v>
      </c>
      <c r="H35" s="20" t="s">
        <v>34</v>
      </c>
      <c r="I35" s="23" t="s">
        <v>35</v>
      </c>
      <c r="K35" s="1"/>
    </row>
    <row r="36" spans="1:11" x14ac:dyDescent="0.2">
      <c r="A36" s="27">
        <v>31</v>
      </c>
      <c r="B36" s="2" t="s">
        <v>36</v>
      </c>
      <c r="C36" s="2">
        <v>103</v>
      </c>
      <c r="D36" s="28">
        <v>1185</v>
      </c>
      <c r="E36" s="29">
        <v>1329</v>
      </c>
      <c r="F36" s="29">
        <v>1660</v>
      </c>
      <c r="G36" s="30">
        <v>84.38</v>
      </c>
      <c r="H36" s="20" t="s">
        <v>34</v>
      </c>
      <c r="I36" s="23" t="s">
        <v>35</v>
      </c>
      <c r="K36" s="1"/>
    </row>
    <row r="37" spans="1:11" x14ac:dyDescent="0.2">
      <c r="A37" s="27">
        <v>32</v>
      </c>
      <c r="B37" s="2" t="s">
        <v>36</v>
      </c>
      <c r="C37" s="2">
        <v>105</v>
      </c>
      <c r="D37" s="28">
        <v>1185</v>
      </c>
      <c r="E37" s="29">
        <v>1329</v>
      </c>
      <c r="F37" s="29">
        <v>1660</v>
      </c>
      <c r="G37" s="30">
        <v>84.38</v>
      </c>
      <c r="H37" s="20" t="s">
        <v>34</v>
      </c>
      <c r="I37" s="23" t="s">
        <v>35</v>
      </c>
      <c r="K37" s="1"/>
    </row>
    <row r="38" spans="1:11" x14ac:dyDescent="0.2">
      <c r="A38" s="27">
        <v>33</v>
      </c>
      <c r="B38" s="2" t="s">
        <v>36</v>
      </c>
      <c r="C38" s="2">
        <v>106</v>
      </c>
      <c r="D38" s="28">
        <v>1185</v>
      </c>
      <c r="E38" s="29">
        <v>1329</v>
      </c>
      <c r="F38" s="29">
        <v>1660</v>
      </c>
      <c r="G38" s="30">
        <v>84.38</v>
      </c>
      <c r="H38" s="20" t="s">
        <v>34</v>
      </c>
      <c r="I38" s="23" t="s">
        <v>35</v>
      </c>
      <c r="K38" s="1"/>
    </row>
    <row r="39" spans="1:11" x14ac:dyDescent="0.2">
      <c r="A39" s="27">
        <v>34</v>
      </c>
      <c r="B39" s="2" t="s">
        <v>36</v>
      </c>
      <c r="C39" s="2">
        <v>108</v>
      </c>
      <c r="D39" s="28">
        <v>1185</v>
      </c>
      <c r="E39" s="29">
        <v>1329</v>
      </c>
      <c r="F39" s="29">
        <v>1660</v>
      </c>
      <c r="G39" s="30">
        <v>84.38</v>
      </c>
      <c r="H39" s="20" t="s">
        <v>34</v>
      </c>
      <c r="I39" s="23" t="s">
        <v>35</v>
      </c>
      <c r="K39" s="1"/>
    </row>
    <row r="40" spans="1:11" x14ac:dyDescent="0.2">
      <c r="A40" s="27">
        <v>35</v>
      </c>
      <c r="B40" s="2" t="s">
        <v>36</v>
      </c>
      <c r="C40" s="2">
        <v>201</v>
      </c>
      <c r="D40" s="28">
        <v>1185</v>
      </c>
      <c r="E40" s="29">
        <v>1329</v>
      </c>
      <c r="F40" s="29">
        <v>1660</v>
      </c>
      <c r="G40" s="30">
        <v>84.38</v>
      </c>
      <c r="H40" s="20" t="s">
        <v>34</v>
      </c>
      <c r="I40" s="23" t="s">
        <v>35</v>
      </c>
      <c r="K40" s="1"/>
    </row>
    <row r="41" spans="1:11" x14ac:dyDescent="0.2">
      <c r="A41" s="27">
        <v>36</v>
      </c>
      <c r="B41" s="2" t="s">
        <v>36</v>
      </c>
      <c r="C41" s="2">
        <v>203</v>
      </c>
      <c r="D41" s="28">
        <v>1185</v>
      </c>
      <c r="E41" s="29">
        <v>1329</v>
      </c>
      <c r="F41" s="29">
        <v>1660</v>
      </c>
      <c r="G41" s="30">
        <v>84.38</v>
      </c>
      <c r="H41" s="20" t="s">
        <v>34</v>
      </c>
      <c r="I41" s="23" t="s">
        <v>35</v>
      </c>
      <c r="K41" s="1"/>
    </row>
    <row r="42" spans="1:11" x14ac:dyDescent="0.2">
      <c r="A42" s="27">
        <v>37</v>
      </c>
      <c r="B42" s="2" t="s">
        <v>36</v>
      </c>
      <c r="C42" s="2">
        <v>204</v>
      </c>
      <c r="D42" s="28">
        <v>1185</v>
      </c>
      <c r="E42" s="29">
        <v>1329</v>
      </c>
      <c r="F42" s="29">
        <v>1660</v>
      </c>
      <c r="G42" s="30">
        <v>84.38</v>
      </c>
      <c r="H42" s="20" t="s">
        <v>34</v>
      </c>
      <c r="I42" s="23" t="s">
        <v>35</v>
      </c>
      <c r="K42" s="1"/>
    </row>
    <row r="43" spans="1:11" x14ac:dyDescent="0.2">
      <c r="A43" s="27">
        <v>38</v>
      </c>
      <c r="B43" s="2" t="s">
        <v>36</v>
      </c>
      <c r="C43" s="2">
        <v>206</v>
      </c>
      <c r="D43" s="28">
        <v>1185</v>
      </c>
      <c r="E43" s="29">
        <v>1329</v>
      </c>
      <c r="F43" s="29">
        <v>1660</v>
      </c>
      <c r="G43" s="30">
        <v>84.38</v>
      </c>
      <c r="H43" s="20" t="s">
        <v>34</v>
      </c>
      <c r="I43" s="23" t="s">
        <v>35</v>
      </c>
      <c r="K43" s="1"/>
    </row>
    <row r="44" spans="1:11" x14ac:dyDescent="0.2">
      <c r="A44" s="27">
        <v>39</v>
      </c>
      <c r="B44" s="2" t="s">
        <v>36</v>
      </c>
      <c r="C44" s="2">
        <v>207</v>
      </c>
      <c r="D44" s="28">
        <v>1185</v>
      </c>
      <c r="E44" s="29">
        <v>1329</v>
      </c>
      <c r="F44" s="29">
        <v>1660</v>
      </c>
      <c r="G44" s="30">
        <v>84.38</v>
      </c>
      <c r="H44" s="20" t="s">
        <v>34</v>
      </c>
      <c r="I44" s="23" t="s">
        <v>35</v>
      </c>
      <c r="K44" s="1"/>
    </row>
    <row r="45" spans="1:11" x14ac:dyDescent="0.2">
      <c r="A45" s="27">
        <v>40</v>
      </c>
      <c r="B45" s="2" t="s">
        <v>36</v>
      </c>
      <c r="C45" s="2">
        <v>301</v>
      </c>
      <c r="D45" s="28">
        <v>1185</v>
      </c>
      <c r="E45" s="29">
        <v>1329</v>
      </c>
      <c r="F45" s="29">
        <v>1660</v>
      </c>
      <c r="G45" s="30">
        <v>84.38</v>
      </c>
      <c r="H45" s="20" t="s">
        <v>34</v>
      </c>
      <c r="I45" s="23" t="s">
        <v>35</v>
      </c>
      <c r="K45" s="1"/>
    </row>
    <row r="46" spans="1:11" x14ac:dyDescent="0.2">
      <c r="A46" s="27">
        <v>41</v>
      </c>
      <c r="B46" s="2" t="s">
        <v>36</v>
      </c>
      <c r="C46" s="2">
        <v>302</v>
      </c>
      <c r="D46" s="28">
        <v>1185</v>
      </c>
      <c r="E46" s="29">
        <v>1329</v>
      </c>
      <c r="F46" s="29">
        <v>1660</v>
      </c>
      <c r="G46" s="30">
        <v>84.38</v>
      </c>
      <c r="H46" s="20" t="s">
        <v>34</v>
      </c>
      <c r="I46" s="23" t="s">
        <v>35</v>
      </c>
      <c r="K46" s="1"/>
    </row>
    <row r="47" spans="1:11" x14ac:dyDescent="0.2">
      <c r="A47" s="27">
        <v>42</v>
      </c>
      <c r="B47" s="2" t="s">
        <v>36</v>
      </c>
      <c r="C47" s="2">
        <v>304</v>
      </c>
      <c r="D47" s="28">
        <v>1185</v>
      </c>
      <c r="E47" s="29">
        <v>1329</v>
      </c>
      <c r="F47" s="29">
        <v>1660</v>
      </c>
      <c r="G47" s="30">
        <v>84.38</v>
      </c>
      <c r="H47" s="20" t="s">
        <v>34</v>
      </c>
      <c r="I47" s="23" t="s">
        <v>35</v>
      </c>
      <c r="K47" s="1"/>
    </row>
    <row r="48" spans="1:11" x14ac:dyDescent="0.2">
      <c r="A48" s="27">
        <v>43</v>
      </c>
      <c r="B48" s="2" t="s">
        <v>36</v>
      </c>
      <c r="C48" s="2">
        <v>305</v>
      </c>
      <c r="D48" s="28">
        <v>1185</v>
      </c>
      <c r="E48" s="29">
        <v>1329</v>
      </c>
      <c r="F48" s="29">
        <v>1660</v>
      </c>
      <c r="G48" s="30">
        <v>84.38</v>
      </c>
      <c r="H48" s="20" t="s">
        <v>34</v>
      </c>
      <c r="I48" s="23" t="s">
        <v>35</v>
      </c>
      <c r="K48" s="1"/>
    </row>
    <row r="49" spans="1:11" x14ac:dyDescent="0.2">
      <c r="A49" s="27">
        <v>44</v>
      </c>
      <c r="B49" s="2" t="s">
        <v>36</v>
      </c>
      <c r="C49" s="2">
        <v>308</v>
      </c>
      <c r="D49" s="28">
        <v>1185</v>
      </c>
      <c r="E49" s="29">
        <v>1329</v>
      </c>
      <c r="F49" s="29">
        <v>1660</v>
      </c>
      <c r="G49" s="30">
        <v>84.38</v>
      </c>
      <c r="H49" s="20" t="s">
        <v>34</v>
      </c>
      <c r="I49" s="23" t="s">
        <v>35</v>
      </c>
      <c r="K49" s="1"/>
    </row>
    <row r="50" spans="1:11" x14ac:dyDescent="0.2">
      <c r="A50" s="27">
        <v>45</v>
      </c>
      <c r="B50" s="2" t="s">
        <v>36</v>
      </c>
      <c r="C50" s="2">
        <v>402</v>
      </c>
      <c r="D50" s="28">
        <v>1185</v>
      </c>
      <c r="E50" s="29">
        <v>1329</v>
      </c>
      <c r="F50" s="29">
        <v>1660</v>
      </c>
      <c r="G50" s="30">
        <v>84.38</v>
      </c>
      <c r="H50" s="20" t="s">
        <v>34</v>
      </c>
      <c r="I50" s="23" t="s">
        <v>35</v>
      </c>
      <c r="K50" s="1"/>
    </row>
    <row r="51" spans="1:11" x14ac:dyDescent="0.2">
      <c r="A51" s="27">
        <v>46</v>
      </c>
      <c r="B51" s="2" t="s">
        <v>36</v>
      </c>
      <c r="C51" s="2">
        <v>403</v>
      </c>
      <c r="D51" s="28">
        <v>1185</v>
      </c>
      <c r="E51" s="29">
        <v>1329</v>
      </c>
      <c r="F51" s="29">
        <v>1660</v>
      </c>
      <c r="G51" s="30">
        <v>84.38</v>
      </c>
      <c r="H51" s="20" t="s">
        <v>34</v>
      </c>
      <c r="I51" s="23" t="s">
        <v>35</v>
      </c>
      <c r="K51" s="1"/>
    </row>
    <row r="52" spans="1:11" x14ac:dyDescent="0.2">
      <c r="A52" s="27">
        <v>47</v>
      </c>
      <c r="B52" s="2" t="s">
        <v>36</v>
      </c>
      <c r="C52" s="2">
        <v>405</v>
      </c>
      <c r="D52" s="28">
        <v>1185</v>
      </c>
      <c r="E52" s="29">
        <v>1329</v>
      </c>
      <c r="F52" s="29">
        <v>1660</v>
      </c>
      <c r="G52" s="30">
        <v>84.38</v>
      </c>
      <c r="H52" s="20" t="s">
        <v>34</v>
      </c>
      <c r="I52" s="23" t="s">
        <v>35</v>
      </c>
      <c r="K52" s="1"/>
    </row>
    <row r="53" spans="1:11" x14ac:dyDescent="0.2">
      <c r="A53" s="27">
        <v>48</v>
      </c>
      <c r="B53" s="2" t="s">
        <v>36</v>
      </c>
      <c r="C53" s="2">
        <v>406</v>
      </c>
      <c r="D53" s="28">
        <v>1185</v>
      </c>
      <c r="E53" s="29">
        <v>1329</v>
      </c>
      <c r="F53" s="29">
        <v>1660</v>
      </c>
      <c r="G53" s="30">
        <v>84.38</v>
      </c>
      <c r="H53" s="20" t="s">
        <v>34</v>
      </c>
      <c r="I53" s="23" t="s">
        <v>35</v>
      </c>
      <c r="K53" s="1"/>
    </row>
    <row r="54" spans="1:11" x14ac:dyDescent="0.2">
      <c r="A54" s="27">
        <v>49</v>
      </c>
      <c r="B54" s="2" t="s">
        <v>36</v>
      </c>
      <c r="C54" s="2">
        <v>408</v>
      </c>
      <c r="D54" s="28">
        <v>1185</v>
      </c>
      <c r="E54" s="29">
        <v>1329</v>
      </c>
      <c r="F54" s="29">
        <v>1660</v>
      </c>
      <c r="G54" s="30">
        <v>84.38</v>
      </c>
      <c r="H54" s="20" t="s">
        <v>34</v>
      </c>
      <c r="I54" s="23" t="s">
        <v>35</v>
      </c>
      <c r="K54" s="1"/>
    </row>
    <row r="55" spans="1:11" x14ac:dyDescent="0.2">
      <c r="A55" s="27">
        <v>50</v>
      </c>
      <c r="B55" s="2" t="s">
        <v>36</v>
      </c>
      <c r="C55" s="2">
        <v>501</v>
      </c>
      <c r="D55" s="28">
        <v>1185</v>
      </c>
      <c r="E55" s="29">
        <v>1329</v>
      </c>
      <c r="F55" s="29">
        <v>1660</v>
      </c>
      <c r="G55" s="30">
        <v>84.38</v>
      </c>
      <c r="H55" s="20" t="s">
        <v>34</v>
      </c>
      <c r="I55" s="23" t="s">
        <v>35</v>
      </c>
      <c r="K55" s="1"/>
    </row>
    <row r="56" spans="1:11" x14ac:dyDescent="0.2">
      <c r="A56" s="27">
        <v>51</v>
      </c>
      <c r="B56" s="2" t="s">
        <v>36</v>
      </c>
      <c r="C56" s="2">
        <v>503</v>
      </c>
      <c r="D56" s="28">
        <v>1185</v>
      </c>
      <c r="E56" s="29">
        <v>1329</v>
      </c>
      <c r="F56" s="29">
        <v>1660</v>
      </c>
      <c r="G56" s="30">
        <v>84.38</v>
      </c>
      <c r="H56" s="20" t="s">
        <v>34</v>
      </c>
      <c r="I56" s="23" t="s">
        <v>35</v>
      </c>
      <c r="K56" s="1"/>
    </row>
    <row r="57" spans="1:11" x14ac:dyDescent="0.2">
      <c r="A57" s="27">
        <v>52</v>
      </c>
      <c r="B57" s="2" t="s">
        <v>36</v>
      </c>
      <c r="C57" s="2">
        <v>504</v>
      </c>
      <c r="D57" s="28">
        <v>1185</v>
      </c>
      <c r="E57" s="29">
        <v>1329</v>
      </c>
      <c r="F57" s="29">
        <v>1660</v>
      </c>
      <c r="G57" s="30">
        <v>84.38</v>
      </c>
      <c r="H57" s="20" t="s">
        <v>34</v>
      </c>
      <c r="I57" s="23" t="s">
        <v>35</v>
      </c>
      <c r="K57" s="1"/>
    </row>
    <row r="58" spans="1:11" x14ac:dyDescent="0.2">
      <c r="A58" s="27">
        <v>53</v>
      </c>
      <c r="B58" s="2" t="s">
        <v>36</v>
      </c>
      <c r="C58" s="2">
        <v>506</v>
      </c>
      <c r="D58" s="28">
        <v>1185</v>
      </c>
      <c r="E58" s="29">
        <v>1329</v>
      </c>
      <c r="F58" s="29">
        <v>1660</v>
      </c>
      <c r="G58" s="30">
        <v>84.38</v>
      </c>
      <c r="H58" s="20" t="s">
        <v>34</v>
      </c>
      <c r="I58" s="23" t="s">
        <v>35</v>
      </c>
      <c r="K58" s="1"/>
    </row>
    <row r="59" spans="1:11" x14ac:dyDescent="0.2">
      <c r="A59" s="27">
        <v>54</v>
      </c>
      <c r="B59" s="2" t="s">
        <v>36</v>
      </c>
      <c r="C59" s="2">
        <v>507</v>
      </c>
      <c r="D59" s="28">
        <v>1185</v>
      </c>
      <c r="E59" s="29">
        <v>1329</v>
      </c>
      <c r="F59" s="29">
        <v>1660</v>
      </c>
      <c r="G59" s="30">
        <v>84.38</v>
      </c>
      <c r="H59" s="20" t="s">
        <v>34</v>
      </c>
      <c r="I59" s="23" t="s">
        <v>35</v>
      </c>
      <c r="K59" s="1"/>
    </row>
    <row r="60" spans="1:11" x14ac:dyDescent="0.2">
      <c r="A60" s="27">
        <v>55</v>
      </c>
      <c r="B60" s="2" t="s">
        <v>36</v>
      </c>
      <c r="C60" s="2">
        <v>601</v>
      </c>
      <c r="D60" s="28">
        <v>1185</v>
      </c>
      <c r="E60" s="29">
        <v>1329</v>
      </c>
      <c r="F60" s="29">
        <v>1660</v>
      </c>
      <c r="G60" s="30">
        <v>84.38</v>
      </c>
      <c r="H60" s="20" t="s">
        <v>34</v>
      </c>
      <c r="I60" s="23" t="s">
        <v>35</v>
      </c>
      <c r="K60" s="1"/>
    </row>
    <row r="61" spans="1:11" x14ac:dyDescent="0.2">
      <c r="A61" s="27">
        <v>56</v>
      </c>
      <c r="B61" s="2" t="s">
        <v>36</v>
      </c>
      <c r="C61" s="2">
        <v>602</v>
      </c>
      <c r="D61" s="28">
        <v>1185</v>
      </c>
      <c r="E61" s="29">
        <v>1329</v>
      </c>
      <c r="F61" s="29">
        <v>1660</v>
      </c>
      <c r="G61" s="30">
        <v>84.38</v>
      </c>
      <c r="H61" s="20" t="s">
        <v>34</v>
      </c>
      <c r="I61" s="23" t="s">
        <v>35</v>
      </c>
      <c r="K61" s="1"/>
    </row>
    <row r="62" spans="1:11" x14ac:dyDescent="0.2">
      <c r="A62" s="27">
        <v>57</v>
      </c>
      <c r="B62" s="2" t="s">
        <v>36</v>
      </c>
      <c r="C62" s="2">
        <v>604</v>
      </c>
      <c r="D62" s="28">
        <v>1185</v>
      </c>
      <c r="E62" s="29">
        <v>1329</v>
      </c>
      <c r="F62" s="29">
        <v>1660</v>
      </c>
      <c r="G62" s="30">
        <v>84.38</v>
      </c>
      <c r="H62" s="20" t="s">
        <v>34</v>
      </c>
      <c r="I62" s="23" t="s">
        <v>35</v>
      </c>
      <c r="K62" s="1"/>
    </row>
    <row r="63" spans="1:11" x14ac:dyDescent="0.2">
      <c r="A63" s="27">
        <v>58</v>
      </c>
      <c r="B63" s="2" t="s">
        <v>36</v>
      </c>
      <c r="C63" s="2">
        <v>605</v>
      </c>
      <c r="D63" s="28">
        <v>1185</v>
      </c>
      <c r="E63" s="29">
        <v>1329</v>
      </c>
      <c r="F63" s="29">
        <v>1660</v>
      </c>
      <c r="G63" s="30">
        <v>84.38</v>
      </c>
      <c r="H63" s="20" t="s">
        <v>34</v>
      </c>
      <c r="I63" s="23" t="s">
        <v>35</v>
      </c>
      <c r="K63" s="1"/>
    </row>
    <row r="64" spans="1:11" x14ac:dyDescent="0.2">
      <c r="A64" s="27">
        <v>59</v>
      </c>
      <c r="B64" s="2" t="s">
        <v>36</v>
      </c>
      <c r="C64" s="2">
        <v>607</v>
      </c>
      <c r="D64" s="28">
        <v>1185</v>
      </c>
      <c r="E64" s="29">
        <v>1329</v>
      </c>
      <c r="F64" s="29">
        <v>1660</v>
      </c>
      <c r="G64" s="30">
        <v>84.38</v>
      </c>
      <c r="H64" s="20" t="s">
        <v>37</v>
      </c>
      <c r="I64" s="23" t="s">
        <v>35</v>
      </c>
      <c r="K64" s="1"/>
    </row>
    <row r="65" spans="1:11" x14ac:dyDescent="0.2">
      <c r="A65" s="27">
        <v>60</v>
      </c>
      <c r="B65" s="2" t="s">
        <v>36</v>
      </c>
      <c r="C65" s="2">
        <v>608</v>
      </c>
      <c r="D65" s="28">
        <v>1185</v>
      </c>
      <c r="E65" s="29">
        <v>1329</v>
      </c>
      <c r="F65" s="29">
        <v>1660</v>
      </c>
      <c r="G65" s="30">
        <v>84.38</v>
      </c>
      <c r="H65" s="20" t="s">
        <v>34</v>
      </c>
      <c r="I65" s="23" t="s">
        <v>35</v>
      </c>
    </row>
    <row r="66" spans="1:11" x14ac:dyDescent="0.2">
      <c r="A66" s="27">
        <v>61</v>
      </c>
      <c r="B66" s="2" t="s">
        <v>38</v>
      </c>
      <c r="C66" s="2">
        <v>102</v>
      </c>
      <c r="D66" s="28">
        <v>1185</v>
      </c>
      <c r="E66" s="29">
        <v>1329</v>
      </c>
      <c r="F66" s="29">
        <v>1660</v>
      </c>
      <c r="G66" s="30">
        <v>84.38</v>
      </c>
      <c r="H66" s="20" t="s">
        <v>34</v>
      </c>
      <c r="I66" s="23" t="s">
        <v>35</v>
      </c>
      <c r="K66" s="1"/>
    </row>
    <row r="67" spans="1:11" x14ac:dyDescent="0.2">
      <c r="A67" s="27">
        <v>62</v>
      </c>
      <c r="B67" s="2" t="s">
        <v>38</v>
      </c>
      <c r="C67" s="2">
        <v>103</v>
      </c>
      <c r="D67" s="28">
        <v>1185</v>
      </c>
      <c r="E67" s="29">
        <v>1329</v>
      </c>
      <c r="F67" s="29">
        <v>1660</v>
      </c>
      <c r="G67" s="30">
        <v>84.38</v>
      </c>
      <c r="H67" s="20" t="s">
        <v>34</v>
      </c>
      <c r="I67" s="23" t="s">
        <v>35</v>
      </c>
      <c r="K67" s="1"/>
    </row>
    <row r="68" spans="1:11" x14ac:dyDescent="0.2">
      <c r="A68" s="27">
        <v>63</v>
      </c>
      <c r="B68" s="2" t="s">
        <v>38</v>
      </c>
      <c r="C68" s="2">
        <v>105</v>
      </c>
      <c r="D68" s="28">
        <v>1185</v>
      </c>
      <c r="E68" s="29">
        <v>1329</v>
      </c>
      <c r="F68" s="29">
        <v>1660</v>
      </c>
      <c r="G68" s="30">
        <v>84.38</v>
      </c>
      <c r="H68" s="20" t="s">
        <v>34</v>
      </c>
      <c r="I68" s="23" t="s">
        <v>35</v>
      </c>
      <c r="K68" s="1"/>
    </row>
    <row r="69" spans="1:11" x14ac:dyDescent="0.2">
      <c r="A69" s="27">
        <v>64</v>
      </c>
      <c r="B69" s="2" t="s">
        <v>38</v>
      </c>
      <c r="C69" s="2">
        <v>106</v>
      </c>
      <c r="D69" s="28">
        <v>1185</v>
      </c>
      <c r="E69" s="29">
        <v>1329</v>
      </c>
      <c r="F69" s="29">
        <v>1660</v>
      </c>
      <c r="G69" s="30">
        <v>84.38</v>
      </c>
      <c r="H69" s="20" t="s">
        <v>34</v>
      </c>
      <c r="I69" s="23" t="s">
        <v>35</v>
      </c>
      <c r="K69" s="1"/>
    </row>
    <row r="70" spans="1:11" x14ac:dyDescent="0.2">
      <c r="A70" s="27">
        <v>65</v>
      </c>
      <c r="B70" s="2" t="s">
        <v>38</v>
      </c>
      <c r="C70" s="2">
        <v>201</v>
      </c>
      <c r="D70" s="28">
        <v>1185</v>
      </c>
      <c r="E70" s="29">
        <v>1329</v>
      </c>
      <c r="F70" s="29">
        <v>1660</v>
      </c>
      <c r="G70" s="30">
        <v>84.38</v>
      </c>
      <c r="H70" s="20" t="s">
        <v>37</v>
      </c>
      <c r="I70" s="23" t="s">
        <v>35</v>
      </c>
      <c r="K70" s="1"/>
    </row>
    <row r="71" spans="1:11" x14ac:dyDescent="0.2">
      <c r="A71" s="27">
        <v>66</v>
      </c>
      <c r="B71" s="2" t="s">
        <v>38</v>
      </c>
      <c r="C71" s="2">
        <v>202</v>
      </c>
      <c r="D71" s="28">
        <v>1185</v>
      </c>
      <c r="E71" s="29">
        <v>1329</v>
      </c>
      <c r="F71" s="29">
        <v>1660</v>
      </c>
      <c r="G71" s="30">
        <v>84.38</v>
      </c>
      <c r="H71" s="20" t="s">
        <v>37</v>
      </c>
      <c r="I71" s="23" t="s">
        <v>35</v>
      </c>
      <c r="K71" s="1"/>
    </row>
    <row r="72" spans="1:11" x14ac:dyDescent="0.2">
      <c r="A72" s="27">
        <v>67</v>
      </c>
      <c r="B72" s="2" t="s">
        <v>38</v>
      </c>
      <c r="C72" s="2">
        <v>204</v>
      </c>
      <c r="D72" s="28">
        <v>1185</v>
      </c>
      <c r="E72" s="29">
        <v>1329</v>
      </c>
      <c r="F72" s="29">
        <v>1660</v>
      </c>
      <c r="G72" s="30">
        <v>84.38</v>
      </c>
      <c r="H72" s="20" t="s">
        <v>34</v>
      </c>
      <c r="I72" s="23" t="s">
        <v>35</v>
      </c>
      <c r="K72" s="1"/>
    </row>
    <row r="73" spans="1:11" x14ac:dyDescent="0.2">
      <c r="A73" s="27">
        <v>68</v>
      </c>
      <c r="B73" s="2" t="s">
        <v>38</v>
      </c>
      <c r="C73" s="2">
        <v>205</v>
      </c>
      <c r="D73" s="28">
        <v>1185</v>
      </c>
      <c r="E73" s="29">
        <v>1329</v>
      </c>
      <c r="F73" s="29">
        <v>1660</v>
      </c>
      <c r="G73" s="30">
        <v>84.38</v>
      </c>
      <c r="H73" s="20" t="s">
        <v>37</v>
      </c>
      <c r="I73" s="23" t="s">
        <v>35</v>
      </c>
      <c r="K73" s="1"/>
    </row>
    <row r="74" spans="1:11" x14ac:dyDescent="0.2">
      <c r="A74" s="27">
        <v>69</v>
      </c>
      <c r="B74" s="2" t="s">
        <v>38</v>
      </c>
      <c r="C74" s="2">
        <v>207</v>
      </c>
      <c r="D74" s="28">
        <v>1185</v>
      </c>
      <c r="E74" s="29">
        <v>1329</v>
      </c>
      <c r="F74" s="29">
        <v>1660</v>
      </c>
      <c r="G74" s="30">
        <v>84.38</v>
      </c>
      <c r="H74" s="20" t="s">
        <v>34</v>
      </c>
      <c r="I74" s="23" t="s">
        <v>35</v>
      </c>
      <c r="K74" s="1"/>
    </row>
    <row r="75" spans="1:11" x14ac:dyDescent="0.2">
      <c r="A75" s="27">
        <v>70</v>
      </c>
      <c r="B75" s="2" t="s">
        <v>38</v>
      </c>
      <c r="C75" s="2">
        <v>301</v>
      </c>
      <c r="D75" s="28">
        <v>1185</v>
      </c>
      <c r="E75" s="29">
        <v>1329</v>
      </c>
      <c r="F75" s="29">
        <v>1660</v>
      </c>
      <c r="G75" s="30">
        <v>84.38</v>
      </c>
      <c r="H75" s="20" t="s">
        <v>34</v>
      </c>
      <c r="I75" s="23" t="s">
        <v>35</v>
      </c>
      <c r="K75" s="1"/>
    </row>
    <row r="76" spans="1:11" x14ac:dyDescent="0.2">
      <c r="A76" s="27">
        <v>71</v>
      </c>
      <c r="B76" s="2" t="s">
        <v>38</v>
      </c>
      <c r="C76" s="2">
        <v>303</v>
      </c>
      <c r="D76" s="28">
        <v>1185</v>
      </c>
      <c r="E76" s="29">
        <v>1329</v>
      </c>
      <c r="F76" s="29">
        <v>1660</v>
      </c>
      <c r="G76" s="30">
        <v>84.38</v>
      </c>
      <c r="H76" s="20" t="s">
        <v>37</v>
      </c>
      <c r="I76" s="23" t="s">
        <v>35</v>
      </c>
      <c r="K76" s="1"/>
    </row>
    <row r="77" spans="1:11" x14ac:dyDescent="0.2">
      <c r="A77" s="27">
        <v>72</v>
      </c>
      <c r="B77" s="2" t="s">
        <v>38</v>
      </c>
      <c r="C77" s="2">
        <v>304</v>
      </c>
      <c r="D77" s="28">
        <v>1185</v>
      </c>
      <c r="E77" s="29">
        <v>1329</v>
      </c>
      <c r="F77" s="29">
        <v>1660</v>
      </c>
      <c r="G77" s="30">
        <v>84.38</v>
      </c>
      <c r="H77" s="20" t="s">
        <v>34</v>
      </c>
      <c r="I77" s="23" t="s">
        <v>35</v>
      </c>
      <c r="K77" s="1"/>
    </row>
    <row r="78" spans="1:11" x14ac:dyDescent="0.2">
      <c r="A78" s="27">
        <v>73</v>
      </c>
      <c r="B78" s="2" t="s">
        <v>38</v>
      </c>
      <c r="C78" s="2">
        <v>306</v>
      </c>
      <c r="D78" s="28">
        <v>1185</v>
      </c>
      <c r="E78" s="29">
        <v>1329</v>
      </c>
      <c r="F78" s="29">
        <v>1660</v>
      </c>
      <c r="G78" s="30">
        <v>84.38</v>
      </c>
      <c r="H78" s="20" t="s">
        <v>34</v>
      </c>
      <c r="I78" s="23" t="s">
        <v>35</v>
      </c>
      <c r="K78" s="1"/>
    </row>
    <row r="79" spans="1:11" x14ac:dyDescent="0.2">
      <c r="A79" s="27">
        <v>74</v>
      </c>
      <c r="B79" s="2" t="s">
        <v>38</v>
      </c>
      <c r="C79" s="2">
        <v>307</v>
      </c>
      <c r="D79" s="28">
        <v>1185</v>
      </c>
      <c r="E79" s="29">
        <v>1329</v>
      </c>
      <c r="F79" s="29">
        <v>1660</v>
      </c>
      <c r="G79" s="30">
        <v>84.38</v>
      </c>
      <c r="H79" s="20" t="s">
        <v>34</v>
      </c>
      <c r="I79" s="23" t="s">
        <v>35</v>
      </c>
      <c r="K79" s="1"/>
    </row>
    <row r="80" spans="1:11" x14ac:dyDescent="0.2">
      <c r="A80" s="27">
        <v>75</v>
      </c>
      <c r="B80" s="2" t="s">
        <v>38</v>
      </c>
      <c r="C80" s="2">
        <v>402</v>
      </c>
      <c r="D80" s="28">
        <v>1185</v>
      </c>
      <c r="E80" s="29">
        <v>1329</v>
      </c>
      <c r="F80" s="29">
        <v>1660</v>
      </c>
      <c r="G80" s="30">
        <v>84.38</v>
      </c>
      <c r="H80" s="20" t="s">
        <v>34</v>
      </c>
      <c r="I80" s="23" t="s">
        <v>35</v>
      </c>
      <c r="K80" s="1"/>
    </row>
    <row r="81" spans="1:11" x14ac:dyDescent="0.2">
      <c r="A81" s="27">
        <v>76</v>
      </c>
      <c r="B81" s="2" t="s">
        <v>38</v>
      </c>
      <c r="C81" s="2">
        <v>405</v>
      </c>
      <c r="D81" s="28">
        <v>1185</v>
      </c>
      <c r="E81" s="29">
        <v>1329</v>
      </c>
      <c r="F81" s="29">
        <v>1660</v>
      </c>
      <c r="G81" s="30">
        <v>84.38</v>
      </c>
      <c r="H81" s="20" t="s">
        <v>34</v>
      </c>
      <c r="I81" s="23" t="s">
        <v>35</v>
      </c>
      <c r="K81" s="1"/>
    </row>
    <row r="82" spans="1:11" x14ac:dyDescent="0.2">
      <c r="A82" s="27">
        <v>77</v>
      </c>
      <c r="B82" s="2" t="s">
        <v>38</v>
      </c>
      <c r="C82" s="2">
        <v>406</v>
      </c>
      <c r="D82" s="28">
        <v>1185</v>
      </c>
      <c r="E82" s="29">
        <v>1329</v>
      </c>
      <c r="F82" s="29">
        <v>1660</v>
      </c>
      <c r="G82" s="30">
        <v>84.38</v>
      </c>
      <c r="H82" s="20" t="s">
        <v>34</v>
      </c>
      <c r="I82" s="23" t="s">
        <v>35</v>
      </c>
      <c r="K82" s="1"/>
    </row>
    <row r="83" spans="1:11" x14ac:dyDescent="0.2">
      <c r="A83" s="27">
        <v>78</v>
      </c>
      <c r="B83" s="2" t="s">
        <v>38</v>
      </c>
      <c r="C83" s="2">
        <v>501</v>
      </c>
      <c r="D83" s="28">
        <v>1185</v>
      </c>
      <c r="E83" s="29">
        <v>1329</v>
      </c>
      <c r="F83" s="29">
        <v>1660</v>
      </c>
      <c r="G83" s="30">
        <v>84.38</v>
      </c>
      <c r="H83" s="20" t="s">
        <v>34</v>
      </c>
      <c r="I83" s="23" t="s">
        <v>35</v>
      </c>
      <c r="K83" s="1"/>
    </row>
    <row r="84" spans="1:11" x14ac:dyDescent="0.2">
      <c r="A84" s="27">
        <v>79</v>
      </c>
      <c r="B84" s="2" t="s">
        <v>38</v>
      </c>
      <c r="C84" s="2">
        <v>502</v>
      </c>
      <c r="D84" s="28">
        <v>1185</v>
      </c>
      <c r="E84" s="29">
        <v>1329</v>
      </c>
      <c r="F84" s="29">
        <v>1660</v>
      </c>
      <c r="G84" s="30">
        <v>84.38</v>
      </c>
      <c r="H84" s="20" t="s">
        <v>37</v>
      </c>
      <c r="I84" s="23" t="s">
        <v>35</v>
      </c>
      <c r="K84" s="1"/>
    </row>
    <row r="85" spans="1:11" x14ac:dyDescent="0.2">
      <c r="A85" s="27">
        <v>80</v>
      </c>
      <c r="B85" s="2" t="s">
        <v>38</v>
      </c>
      <c r="C85" s="2">
        <v>504</v>
      </c>
      <c r="D85" s="28">
        <v>1185</v>
      </c>
      <c r="E85" s="29">
        <v>1329</v>
      </c>
      <c r="F85" s="29">
        <v>1660</v>
      </c>
      <c r="G85" s="30">
        <v>84.38</v>
      </c>
      <c r="H85" s="20" t="s">
        <v>37</v>
      </c>
      <c r="I85" s="23" t="s">
        <v>35</v>
      </c>
      <c r="K85" s="1"/>
    </row>
    <row r="86" spans="1:11" x14ac:dyDescent="0.2">
      <c r="A86" s="27">
        <v>81</v>
      </c>
      <c r="B86" s="2" t="s">
        <v>38</v>
      </c>
      <c r="C86" s="2">
        <v>505</v>
      </c>
      <c r="D86" s="28">
        <v>1185</v>
      </c>
      <c r="E86" s="29">
        <v>1329</v>
      </c>
      <c r="F86" s="29">
        <v>1660</v>
      </c>
      <c r="G86" s="30">
        <v>84.38</v>
      </c>
      <c r="H86" s="20" t="s">
        <v>37</v>
      </c>
      <c r="I86" s="23" t="s">
        <v>35</v>
      </c>
      <c r="K86" s="1"/>
    </row>
    <row r="87" spans="1:11" x14ac:dyDescent="0.2">
      <c r="A87" s="27">
        <v>82</v>
      </c>
      <c r="B87" s="2" t="s">
        <v>38</v>
      </c>
      <c r="C87" s="2">
        <v>507</v>
      </c>
      <c r="D87" s="28">
        <v>1185</v>
      </c>
      <c r="E87" s="29">
        <v>1329</v>
      </c>
      <c r="F87" s="29">
        <v>1660</v>
      </c>
      <c r="G87" s="30">
        <v>84.38</v>
      </c>
      <c r="H87" s="20" t="s">
        <v>34</v>
      </c>
      <c r="I87" s="23" t="s">
        <v>35</v>
      </c>
      <c r="K87" s="1"/>
    </row>
    <row r="88" spans="1:11" x14ac:dyDescent="0.2">
      <c r="A88" s="27">
        <v>83</v>
      </c>
      <c r="B88" s="2" t="s">
        <v>38</v>
      </c>
      <c r="C88" s="2">
        <v>601</v>
      </c>
      <c r="D88" s="28">
        <v>1185</v>
      </c>
      <c r="E88" s="29">
        <v>1329</v>
      </c>
      <c r="F88" s="29">
        <v>1660</v>
      </c>
      <c r="G88" s="30">
        <v>84.38</v>
      </c>
      <c r="H88" s="20" t="s">
        <v>37</v>
      </c>
      <c r="I88" s="23" t="s">
        <v>35</v>
      </c>
      <c r="K88" s="1"/>
    </row>
    <row r="89" spans="1:11" x14ac:dyDescent="0.2">
      <c r="A89" s="27">
        <v>84</v>
      </c>
      <c r="B89" s="2" t="s">
        <v>38</v>
      </c>
      <c r="C89" s="2">
        <v>603</v>
      </c>
      <c r="D89" s="28">
        <v>1185</v>
      </c>
      <c r="E89" s="29">
        <v>1329</v>
      </c>
      <c r="F89" s="29">
        <v>1660</v>
      </c>
      <c r="G89" s="30">
        <v>84.38</v>
      </c>
      <c r="H89" s="20" t="s">
        <v>37</v>
      </c>
      <c r="I89" s="23" t="s">
        <v>35</v>
      </c>
      <c r="K89" s="1"/>
    </row>
    <row r="90" spans="1:11" x14ac:dyDescent="0.2">
      <c r="A90" s="27">
        <v>85</v>
      </c>
      <c r="B90" s="2" t="s">
        <v>38</v>
      </c>
      <c r="C90" s="2">
        <v>604</v>
      </c>
      <c r="D90" s="28">
        <v>1185</v>
      </c>
      <c r="E90" s="29">
        <v>1329</v>
      </c>
      <c r="F90" s="29">
        <v>1660</v>
      </c>
      <c r="G90" s="30">
        <v>84.38</v>
      </c>
      <c r="H90" s="20" t="s">
        <v>37</v>
      </c>
      <c r="I90" s="23" t="s">
        <v>35</v>
      </c>
      <c r="K90" s="1"/>
    </row>
    <row r="91" spans="1:11" x14ac:dyDescent="0.2">
      <c r="A91" s="27">
        <v>86</v>
      </c>
      <c r="B91" s="2" t="s">
        <v>38</v>
      </c>
      <c r="C91" s="2">
        <v>606</v>
      </c>
      <c r="D91" s="28">
        <v>1185</v>
      </c>
      <c r="E91" s="29">
        <v>1329</v>
      </c>
      <c r="F91" s="29">
        <v>1660</v>
      </c>
      <c r="G91" s="30">
        <v>84.38</v>
      </c>
      <c r="H91" s="20" t="s">
        <v>37</v>
      </c>
      <c r="I91" s="23" t="s">
        <v>35</v>
      </c>
      <c r="K91" s="1"/>
    </row>
    <row r="92" spans="1:11" x14ac:dyDescent="0.2">
      <c r="A92" s="27">
        <v>87</v>
      </c>
      <c r="B92" s="2" t="s">
        <v>38</v>
      </c>
      <c r="C92" s="2">
        <v>607</v>
      </c>
      <c r="D92" s="28">
        <v>1185</v>
      </c>
      <c r="E92" s="29">
        <v>1329</v>
      </c>
      <c r="F92" s="29">
        <v>1660</v>
      </c>
      <c r="G92" s="30">
        <v>84.38</v>
      </c>
      <c r="H92" s="20" t="s">
        <v>34</v>
      </c>
      <c r="I92" s="23" t="s">
        <v>35</v>
      </c>
      <c r="K92" s="1"/>
    </row>
    <row r="93" spans="1:11" x14ac:dyDescent="0.2">
      <c r="A93" s="27">
        <v>88</v>
      </c>
      <c r="B93" s="2" t="s">
        <v>39</v>
      </c>
      <c r="C93" s="2">
        <v>102</v>
      </c>
      <c r="D93" s="28">
        <v>1185</v>
      </c>
      <c r="E93" s="29">
        <v>1329</v>
      </c>
      <c r="F93" s="29">
        <v>1660</v>
      </c>
      <c r="G93" s="30">
        <v>84.38</v>
      </c>
      <c r="H93" s="20" t="s">
        <v>37</v>
      </c>
      <c r="I93" s="23" t="s">
        <v>35</v>
      </c>
      <c r="K93" s="1"/>
    </row>
    <row r="94" spans="1:11" x14ac:dyDescent="0.2">
      <c r="A94" s="27">
        <v>89</v>
      </c>
      <c r="B94" s="2" t="s">
        <v>39</v>
      </c>
      <c r="C94" s="2">
        <v>103</v>
      </c>
      <c r="D94" s="28">
        <v>1185</v>
      </c>
      <c r="E94" s="29">
        <v>1329</v>
      </c>
      <c r="F94" s="29">
        <v>1660</v>
      </c>
      <c r="G94" s="30">
        <v>84.38</v>
      </c>
      <c r="H94" s="20" t="s">
        <v>37</v>
      </c>
      <c r="I94" s="23" t="s">
        <v>35</v>
      </c>
      <c r="K94" s="1"/>
    </row>
    <row r="95" spans="1:11" x14ac:dyDescent="0.2">
      <c r="A95" s="27">
        <v>90</v>
      </c>
      <c r="B95" s="2" t="s">
        <v>39</v>
      </c>
      <c r="C95" s="2">
        <v>105</v>
      </c>
      <c r="D95" s="28">
        <v>1185</v>
      </c>
      <c r="E95" s="29">
        <v>1329</v>
      </c>
      <c r="F95" s="29">
        <v>1660</v>
      </c>
      <c r="G95" s="30">
        <v>84.38</v>
      </c>
      <c r="H95" s="20" t="s">
        <v>34</v>
      </c>
      <c r="I95" s="23" t="s">
        <v>35</v>
      </c>
      <c r="K95" s="1"/>
    </row>
    <row r="96" spans="1:11" x14ac:dyDescent="0.2">
      <c r="A96" s="27">
        <v>91</v>
      </c>
      <c r="B96" s="2" t="s">
        <v>39</v>
      </c>
      <c r="C96" s="2">
        <v>106</v>
      </c>
      <c r="D96" s="28">
        <v>1185</v>
      </c>
      <c r="E96" s="29">
        <v>1329</v>
      </c>
      <c r="F96" s="29">
        <v>1660</v>
      </c>
      <c r="G96" s="30">
        <v>84.38</v>
      </c>
      <c r="H96" s="20" t="s">
        <v>34</v>
      </c>
      <c r="I96" s="23" t="s">
        <v>35</v>
      </c>
      <c r="K96" s="1"/>
    </row>
    <row r="97" spans="1:11" x14ac:dyDescent="0.2">
      <c r="A97" s="27">
        <v>92</v>
      </c>
      <c r="B97" s="2" t="s">
        <v>39</v>
      </c>
      <c r="C97" s="2">
        <v>108</v>
      </c>
      <c r="D97" s="28">
        <v>1185</v>
      </c>
      <c r="E97" s="29">
        <v>1329</v>
      </c>
      <c r="F97" s="29">
        <v>1660</v>
      </c>
      <c r="G97" s="30">
        <v>84.38</v>
      </c>
      <c r="H97" s="20" t="s">
        <v>34</v>
      </c>
      <c r="I97" s="23" t="s">
        <v>35</v>
      </c>
      <c r="K97" s="1"/>
    </row>
    <row r="98" spans="1:11" x14ac:dyDescent="0.2">
      <c r="A98" s="27">
        <v>93</v>
      </c>
      <c r="B98" s="2" t="s">
        <v>39</v>
      </c>
      <c r="C98" s="2">
        <v>201</v>
      </c>
      <c r="D98" s="28">
        <v>1185</v>
      </c>
      <c r="E98" s="29">
        <v>1329</v>
      </c>
      <c r="F98" s="29">
        <v>1660</v>
      </c>
      <c r="G98" s="30">
        <v>84.38</v>
      </c>
      <c r="H98" s="20" t="s">
        <v>37</v>
      </c>
      <c r="I98" s="23" t="s">
        <v>35</v>
      </c>
      <c r="K98" s="1"/>
    </row>
    <row r="99" spans="1:11" x14ac:dyDescent="0.2">
      <c r="A99" s="27">
        <v>94</v>
      </c>
      <c r="B99" s="2" t="s">
        <v>39</v>
      </c>
      <c r="C99" s="2">
        <v>203</v>
      </c>
      <c r="D99" s="28">
        <v>1185</v>
      </c>
      <c r="E99" s="29">
        <v>1329</v>
      </c>
      <c r="F99" s="29">
        <v>1660</v>
      </c>
      <c r="G99" s="30">
        <v>84.38</v>
      </c>
      <c r="H99" s="20" t="s">
        <v>37</v>
      </c>
      <c r="I99" s="23" t="s">
        <v>35</v>
      </c>
      <c r="K99" s="1"/>
    </row>
    <row r="100" spans="1:11" x14ac:dyDescent="0.2">
      <c r="A100" s="27">
        <v>95</v>
      </c>
      <c r="B100" s="2" t="s">
        <v>39</v>
      </c>
      <c r="C100" s="2">
        <v>204</v>
      </c>
      <c r="D100" s="28">
        <v>1185</v>
      </c>
      <c r="E100" s="29">
        <v>1329</v>
      </c>
      <c r="F100" s="29">
        <v>1660</v>
      </c>
      <c r="G100" s="30">
        <v>84.38</v>
      </c>
      <c r="H100" s="20" t="s">
        <v>37</v>
      </c>
      <c r="I100" s="23" t="s">
        <v>35</v>
      </c>
      <c r="K100" s="1"/>
    </row>
    <row r="101" spans="1:11" x14ac:dyDescent="0.2">
      <c r="A101" s="27">
        <v>96</v>
      </c>
      <c r="B101" s="2" t="s">
        <v>39</v>
      </c>
      <c r="C101" s="2">
        <v>206</v>
      </c>
      <c r="D101" s="28">
        <v>1185</v>
      </c>
      <c r="E101" s="29">
        <v>1329</v>
      </c>
      <c r="F101" s="29">
        <v>1660</v>
      </c>
      <c r="G101" s="30">
        <v>84.38</v>
      </c>
      <c r="H101" s="20" t="s">
        <v>37</v>
      </c>
      <c r="I101" s="23" t="s">
        <v>35</v>
      </c>
      <c r="K101" s="1"/>
    </row>
    <row r="102" spans="1:11" x14ac:dyDescent="0.2">
      <c r="A102" s="27">
        <v>97</v>
      </c>
      <c r="B102" s="2" t="s">
        <v>39</v>
      </c>
      <c r="C102" s="2">
        <v>207</v>
      </c>
      <c r="D102" s="28">
        <v>1185</v>
      </c>
      <c r="E102" s="29">
        <v>1329</v>
      </c>
      <c r="F102" s="29">
        <v>1660</v>
      </c>
      <c r="G102" s="30">
        <v>84.38</v>
      </c>
      <c r="H102" s="20" t="s">
        <v>37</v>
      </c>
      <c r="I102" s="23" t="s">
        <v>35</v>
      </c>
      <c r="K102" s="1"/>
    </row>
    <row r="103" spans="1:11" x14ac:dyDescent="0.2">
      <c r="A103" s="27">
        <v>98</v>
      </c>
      <c r="B103" s="2" t="s">
        <v>39</v>
      </c>
      <c r="C103" s="2">
        <v>301</v>
      </c>
      <c r="D103" s="28">
        <v>1185</v>
      </c>
      <c r="E103" s="29">
        <v>1329</v>
      </c>
      <c r="F103" s="29">
        <v>1660</v>
      </c>
      <c r="G103" s="30">
        <v>84.38</v>
      </c>
      <c r="H103" s="20" t="s">
        <v>34</v>
      </c>
      <c r="I103" s="23" t="s">
        <v>35</v>
      </c>
      <c r="K103" s="1"/>
    </row>
    <row r="104" spans="1:11" x14ac:dyDescent="0.2">
      <c r="A104" s="27">
        <v>99</v>
      </c>
      <c r="B104" s="2" t="s">
        <v>39</v>
      </c>
      <c r="C104" s="2">
        <v>302</v>
      </c>
      <c r="D104" s="28">
        <v>1185</v>
      </c>
      <c r="E104" s="29">
        <v>1329</v>
      </c>
      <c r="F104" s="29">
        <v>1660</v>
      </c>
      <c r="G104" s="30">
        <v>84.38</v>
      </c>
      <c r="H104" s="20" t="s">
        <v>37</v>
      </c>
      <c r="I104" s="23" t="s">
        <v>35</v>
      </c>
      <c r="K104" s="1"/>
    </row>
    <row r="105" spans="1:11" x14ac:dyDescent="0.2">
      <c r="A105" s="27">
        <v>100</v>
      </c>
      <c r="B105" s="2" t="s">
        <v>39</v>
      </c>
      <c r="C105" s="2">
        <v>304</v>
      </c>
      <c r="D105" s="28">
        <v>1185</v>
      </c>
      <c r="E105" s="29">
        <v>1329</v>
      </c>
      <c r="F105" s="29">
        <v>1660</v>
      </c>
      <c r="G105" s="30">
        <v>84.38</v>
      </c>
      <c r="H105" s="20" t="s">
        <v>34</v>
      </c>
      <c r="I105" s="23" t="s">
        <v>35</v>
      </c>
      <c r="K105" s="1"/>
    </row>
    <row r="106" spans="1:11" x14ac:dyDescent="0.2">
      <c r="A106" s="27">
        <v>101</v>
      </c>
      <c r="B106" s="2" t="s">
        <v>39</v>
      </c>
      <c r="C106" s="2">
        <v>305</v>
      </c>
      <c r="D106" s="28">
        <v>1185</v>
      </c>
      <c r="E106" s="29">
        <v>1329</v>
      </c>
      <c r="F106" s="29">
        <v>1660</v>
      </c>
      <c r="G106" s="30">
        <v>84.38</v>
      </c>
      <c r="H106" s="20" t="s">
        <v>34</v>
      </c>
      <c r="I106" s="23" t="s">
        <v>35</v>
      </c>
      <c r="K106" s="1"/>
    </row>
    <row r="107" spans="1:11" x14ac:dyDescent="0.2">
      <c r="A107" s="27">
        <v>102</v>
      </c>
      <c r="B107" s="2" t="s">
        <v>39</v>
      </c>
      <c r="C107" s="2">
        <v>307</v>
      </c>
      <c r="D107" s="28">
        <v>1185</v>
      </c>
      <c r="E107" s="29">
        <v>1329</v>
      </c>
      <c r="F107" s="29">
        <v>1660</v>
      </c>
      <c r="G107" s="30">
        <v>84.38</v>
      </c>
      <c r="H107" s="20" t="s">
        <v>34</v>
      </c>
      <c r="I107" s="23" t="s">
        <v>35</v>
      </c>
      <c r="K107" s="1"/>
    </row>
    <row r="108" spans="1:11" x14ac:dyDescent="0.2">
      <c r="A108" s="27">
        <v>103</v>
      </c>
      <c r="B108" s="2" t="s">
        <v>39</v>
      </c>
      <c r="C108" s="2">
        <v>308</v>
      </c>
      <c r="D108" s="28">
        <v>1185</v>
      </c>
      <c r="E108" s="29">
        <v>1329</v>
      </c>
      <c r="F108" s="29">
        <v>1660</v>
      </c>
      <c r="G108" s="30">
        <v>84.38</v>
      </c>
      <c r="H108" s="20" t="s">
        <v>34</v>
      </c>
      <c r="I108" s="23" t="s">
        <v>35</v>
      </c>
      <c r="K108" s="1"/>
    </row>
    <row r="109" spans="1:11" x14ac:dyDescent="0.2">
      <c r="A109" s="27">
        <v>104</v>
      </c>
      <c r="B109" s="2" t="s">
        <v>39</v>
      </c>
      <c r="C109" s="2">
        <v>402</v>
      </c>
      <c r="D109" s="28">
        <v>1185</v>
      </c>
      <c r="E109" s="29">
        <v>1329</v>
      </c>
      <c r="F109" s="29">
        <v>1660</v>
      </c>
      <c r="G109" s="30">
        <v>84.38</v>
      </c>
      <c r="H109" s="20" t="s">
        <v>34</v>
      </c>
      <c r="I109" s="23" t="s">
        <v>35</v>
      </c>
      <c r="K109" s="1"/>
    </row>
    <row r="110" spans="1:11" x14ac:dyDescent="0.2">
      <c r="A110" s="27">
        <v>105</v>
      </c>
      <c r="B110" s="2" t="s">
        <v>39</v>
      </c>
      <c r="C110" s="2">
        <v>403</v>
      </c>
      <c r="D110" s="28">
        <v>1185</v>
      </c>
      <c r="E110" s="29">
        <v>1329</v>
      </c>
      <c r="F110" s="29">
        <v>1660</v>
      </c>
      <c r="G110" s="30">
        <v>84.38</v>
      </c>
      <c r="H110" s="20" t="s">
        <v>37</v>
      </c>
      <c r="I110" s="23" t="s">
        <v>35</v>
      </c>
      <c r="K110" s="1"/>
    </row>
    <row r="111" spans="1:11" x14ac:dyDescent="0.2">
      <c r="A111" s="27">
        <v>106</v>
      </c>
      <c r="B111" s="2" t="s">
        <v>39</v>
      </c>
      <c r="C111" s="2">
        <v>405</v>
      </c>
      <c r="D111" s="28">
        <v>1185</v>
      </c>
      <c r="E111" s="29">
        <v>1329</v>
      </c>
      <c r="F111" s="29">
        <v>1660</v>
      </c>
      <c r="G111" s="30">
        <v>84.38</v>
      </c>
      <c r="H111" s="20" t="s">
        <v>34</v>
      </c>
      <c r="I111" s="23" t="s">
        <v>35</v>
      </c>
      <c r="K111" s="1"/>
    </row>
    <row r="112" spans="1:11" x14ac:dyDescent="0.2">
      <c r="A112" s="27">
        <v>107</v>
      </c>
      <c r="B112" s="2" t="s">
        <v>39</v>
      </c>
      <c r="C112" s="2">
        <v>406</v>
      </c>
      <c r="D112" s="28">
        <v>1185</v>
      </c>
      <c r="E112" s="29">
        <v>1329</v>
      </c>
      <c r="F112" s="29">
        <v>1660</v>
      </c>
      <c r="G112" s="30">
        <v>84.38</v>
      </c>
      <c r="H112" s="20" t="s">
        <v>34</v>
      </c>
      <c r="I112" s="23" t="s">
        <v>35</v>
      </c>
      <c r="K112" s="1"/>
    </row>
    <row r="113" spans="1:11" x14ac:dyDescent="0.2">
      <c r="A113" s="27">
        <v>108</v>
      </c>
      <c r="B113" s="2" t="s">
        <v>39</v>
      </c>
      <c r="C113" s="2">
        <v>408</v>
      </c>
      <c r="D113" s="28">
        <v>1185</v>
      </c>
      <c r="E113" s="29">
        <v>1329</v>
      </c>
      <c r="F113" s="29">
        <v>1660</v>
      </c>
      <c r="G113" s="30">
        <v>84.38</v>
      </c>
      <c r="H113" s="20" t="s">
        <v>34</v>
      </c>
      <c r="I113" s="23" t="s">
        <v>35</v>
      </c>
      <c r="K113" s="1"/>
    </row>
    <row r="114" spans="1:11" x14ac:dyDescent="0.2">
      <c r="A114" s="27">
        <v>109</v>
      </c>
      <c r="B114" s="2" t="s">
        <v>39</v>
      </c>
      <c r="C114" s="2">
        <v>501</v>
      </c>
      <c r="D114" s="28">
        <v>1185</v>
      </c>
      <c r="E114" s="29">
        <v>1329</v>
      </c>
      <c r="F114" s="29">
        <v>1660</v>
      </c>
      <c r="G114" s="30">
        <v>84.38</v>
      </c>
      <c r="H114" s="20" t="s">
        <v>34</v>
      </c>
      <c r="I114" s="23" t="s">
        <v>35</v>
      </c>
      <c r="K114" s="1"/>
    </row>
    <row r="115" spans="1:11" x14ac:dyDescent="0.2">
      <c r="A115" s="27">
        <v>110</v>
      </c>
      <c r="B115" s="2" t="s">
        <v>39</v>
      </c>
      <c r="C115" s="2">
        <v>503</v>
      </c>
      <c r="D115" s="28">
        <v>1185</v>
      </c>
      <c r="E115" s="29">
        <v>1329</v>
      </c>
      <c r="F115" s="29">
        <v>1660</v>
      </c>
      <c r="G115" s="30">
        <v>84.38</v>
      </c>
      <c r="H115" s="20" t="s">
        <v>37</v>
      </c>
      <c r="I115" s="23" t="s">
        <v>35</v>
      </c>
      <c r="K115" s="1"/>
    </row>
    <row r="116" spans="1:11" x14ac:dyDescent="0.2">
      <c r="A116" s="27">
        <v>111</v>
      </c>
      <c r="B116" s="2" t="s">
        <v>39</v>
      </c>
      <c r="C116" s="2">
        <v>504</v>
      </c>
      <c r="D116" s="28">
        <v>1185</v>
      </c>
      <c r="E116" s="29">
        <v>1329</v>
      </c>
      <c r="F116" s="29">
        <v>1660</v>
      </c>
      <c r="G116" s="30">
        <v>84.38</v>
      </c>
      <c r="H116" s="20" t="s">
        <v>34</v>
      </c>
      <c r="I116" s="23" t="s">
        <v>35</v>
      </c>
      <c r="K116" s="1"/>
    </row>
    <row r="117" spans="1:11" x14ac:dyDescent="0.2">
      <c r="A117" s="27">
        <v>112</v>
      </c>
      <c r="B117" s="2" t="s">
        <v>39</v>
      </c>
      <c r="C117" s="2">
        <v>506</v>
      </c>
      <c r="D117" s="28">
        <v>1185</v>
      </c>
      <c r="E117" s="29">
        <v>1329</v>
      </c>
      <c r="F117" s="29">
        <v>1660</v>
      </c>
      <c r="G117" s="30">
        <v>84.38</v>
      </c>
      <c r="H117" s="20" t="s">
        <v>34</v>
      </c>
      <c r="I117" s="23" t="s">
        <v>35</v>
      </c>
      <c r="K117" s="1"/>
    </row>
    <row r="118" spans="1:11" x14ac:dyDescent="0.2">
      <c r="A118" s="27">
        <v>113</v>
      </c>
      <c r="B118" s="2" t="s">
        <v>39</v>
      </c>
      <c r="C118" s="2">
        <v>507</v>
      </c>
      <c r="D118" s="28">
        <v>1185</v>
      </c>
      <c r="E118" s="29">
        <v>1329</v>
      </c>
      <c r="F118" s="29">
        <v>1660</v>
      </c>
      <c r="G118" s="30">
        <v>84.38</v>
      </c>
      <c r="H118" s="20" t="s">
        <v>34</v>
      </c>
      <c r="I118" s="23" t="s">
        <v>35</v>
      </c>
      <c r="K118" s="1"/>
    </row>
    <row r="119" spans="1:11" x14ac:dyDescent="0.2">
      <c r="A119" s="27">
        <v>114</v>
      </c>
      <c r="B119" s="2" t="s">
        <v>39</v>
      </c>
      <c r="C119" s="2">
        <v>601</v>
      </c>
      <c r="D119" s="28">
        <v>1185</v>
      </c>
      <c r="E119" s="29">
        <v>1329</v>
      </c>
      <c r="F119" s="29">
        <v>1660</v>
      </c>
      <c r="G119" s="30">
        <v>84.38</v>
      </c>
      <c r="H119" s="20" t="s">
        <v>34</v>
      </c>
      <c r="I119" s="23" t="s">
        <v>35</v>
      </c>
      <c r="K119" s="1"/>
    </row>
    <row r="120" spans="1:11" x14ac:dyDescent="0.2">
      <c r="A120" s="27">
        <v>115</v>
      </c>
      <c r="B120" s="2" t="s">
        <v>39</v>
      </c>
      <c r="C120" s="2">
        <v>602</v>
      </c>
      <c r="D120" s="28">
        <v>1185</v>
      </c>
      <c r="E120" s="29">
        <v>1329</v>
      </c>
      <c r="F120" s="29">
        <v>1660</v>
      </c>
      <c r="G120" s="30">
        <v>84.38</v>
      </c>
      <c r="H120" s="20" t="s">
        <v>37</v>
      </c>
      <c r="I120" s="23" t="s">
        <v>35</v>
      </c>
      <c r="K120" s="1"/>
    </row>
    <row r="121" spans="1:11" x14ac:dyDescent="0.2">
      <c r="A121" s="27">
        <v>116</v>
      </c>
      <c r="B121" s="2" t="s">
        <v>39</v>
      </c>
      <c r="C121" s="2">
        <v>604</v>
      </c>
      <c r="D121" s="28">
        <v>1185</v>
      </c>
      <c r="E121" s="29">
        <v>1329</v>
      </c>
      <c r="F121" s="29">
        <v>1660</v>
      </c>
      <c r="G121" s="30">
        <v>84.38</v>
      </c>
      <c r="H121" s="20" t="s">
        <v>34</v>
      </c>
      <c r="I121" s="23" t="s">
        <v>35</v>
      </c>
      <c r="K121" s="1"/>
    </row>
    <row r="122" spans="1:11" x14ac:dyDescent="0.2">
      <c r="A122" s="27">
        <v>117</v>
      </c>
      <c r="B122" s="2" t="s">
        <v>39</v>
      </c>
      <c r="C122" s="2">
        <v>605</v>
      </c>
      <c r="D122" s="28">
        <v>1185</v>
      </c>
      <c r="E122" s="29">
        <v>1329</v>
      </c>
      <c r="F122" s="29">
        <v>1660</v>
      </c>
      <c r="G122" s="30">
        <v>84.38</v>
      </c>
      <c r="H122" s="20" t="s">
        <v>34</v>
      </c>
      <c r="I122" s="23" t="s">
        <v>35</v>
      </c>
      <c r="K122" s="1"/>
    </row>
    <row r="123" spans="1:11" x14ac:dyDescent="0.2">
      <c r="A123" s="27">
        <v>118</v>
      </c>
      <c r="B123" s="2" t="s">
        <v>39</v>
      </c>
      <c r="C123" s="2">
        <v>607</v>
      </c>
      <c r="D123" s="28">
        <v>1185</v>
      </c>
      <c r="E123" s="29">
        <v>1329</v>
      </c>
      <c r="F123" s="29">
        <v>1660</v>
      </c>
      <c r="G123" s="30">
        <v>84.38</v>
      </c>
      <c r="H123" s="20" t="s">
        <v>37</v>
      </c>
      <c r="I123" s="23" t="s">
        <v>35</v>
      </c>
      <c r="K123" s="1"/>
    </row>
    <row r="124" spans="1:11" x14ac:dyDescent="0.2">
      <c r="A124" s="27">
        <v>119</v>
      </c>
      <c r="B124" s="2" t="s">
        <v>39</v>
      </c>
      <c r="C124" s="2">
        <v>608</v>
      </c>
      <c r="D124" s="28">
        <v>1185</v>
      </c>
      <c r="E124" s="29">
        <v>1329</v>
      </c>
      <c r="F124" s="29">
        <v>1660</v>
      </c>
      <c r="G124" s="30">
        <v>84.38</v>
      </c>
      <c r="H124" s="20" t="s">
        <v>34</v>
      </c>
      <c r="I124" s="23" t="s">
        <v>35</v>
      </c>
      <c r="K124" s="1"/>
    </row>
    <row r="125" spans="1:11" x14ac:dyDescent="0.2">
      <c r="A125" s="27">
        <v>120</v>
      </c>
      <c r="B125" s="2" t="s">
        <v>40</v>
      </c>
      <c r="C125" s="2">
        <v>102</v>
      </c>
      <c r="D125" s="28">
        <v>1185</v>
      </c>
      <c r="E125" s="29">
        <v>1329</v>
      </c>
      <c r="F125" s="29">
        <v>1660</v>
      </c>
      <c r="G125" s="30">
        <v>84.38</v>
      </c>
      <c r="H125" s="20" t="s">
        <v>37</v>
      </c>
      <c r="I125" s="23" t="s">
        <v>35</v>
      </c>
      <c r="K125" s="1"/>
    </row>
    <row r="126" spans="1:11" x14ac:dyDescent="0.2">
      <c r="A126" s="27">
        <v>121</v>
      </c>
      <c r="B126" s="2" t="s">
        <v>40</v>
      </c>
      <c r="C126" s="2">
        <v>103</v>
      </c>
      <c r="D126" s="28">
        <v>1185</v>
      </c>
      <c r="E126" s="29">
        <v>1329</v>
      </c>
      <c r="F126" s="29">
        <v>1660</v>
      </c>
      <c r="G126" s="30">
        <v>84.38</v>
      </c>
      <c r="H126" s="20" t="s">
        <v>37</v>
      </c>
      <c r="I126" s="23" t="s">
        <v>35</v>
      </c>
      <c r="K126" s="1"/>
    </row>
    <row r="127" spans="1:11" x14ac:dyDescent="0.2">
      <c r="A127" s="27">
        <v>122</v>
      </c>
      <c r="B127" s="2" t="s">
        <v>40</v>
      </c>
      <c r="C127" s="2">
        <v>105</v>
      </c>
      <c r="D127" s="28">
        <v>1185</v>
      </c>
      <c r="E127" s="29">
        <v>1329</v>
      </c>
      <c r="F127" s="29">
        <v>1660</v>
      </c>
      <c r="G127" s="30">
        <v>84.38</v>
      </c>
      <c r="H127" s="20" t="s">
        <v>37</v>
      </c>
      <c r="I127" s="23" t="s">
        <v>35</v>
      </c>
      <c r="K127" s="1"/>
    </row>
    <row r="128" spans="1:11" x14ac:dyDescent="0.2">
      <c r="A128" s="27">
        <v>123</v>
      </c>
      <c r="B128" s="2" t="s">
        <v>40</v>
      </c>
      <c r="C128" s="2">
        <v>106</v>
      </c>
      <c r="D128" s="28">
        <v>1185</v>
      </c>
      <c r="E128" s="29">
        <v>1329</v>
      </c>
      <c r="F128" s="29">
        <v>1660</v>
      </c>
      <c r="G128" s="30">
        <v>84.38</v>
      </c>
      <c r="H128" s="20" t="s">
        <v>37</v>
      </c>
      <c r="I128" s="23" t="s">
        <v>35</v>
      </c>
      <c r="K128" s="1"/>
    </row>
    <row r="129" spans="1:11" x14ac:dyDescent="0.2">
      <c r="A129" s="27">
        <v>124</v>
      </c>
      <c r="B129" s="2" t="s">
        <v>40</v>
      </c>
      <c r="C129" s="2">
        <v>201</v>
      </c>
      <c r="D129" s="28">
        <v>1185</v>
      </c>
      <c r="E129" s="29">
        <v>1329</v>
      </c>
      <c r="F129" s="29">
        <v>1660</v>
      </c>
      <c r="G129" s="30">
        <v>84.38</v>
      </c>
      <c r="H129" s="20" t="s">
        <v>37</v>
      </c>
      <c r="I129" s="23" t="s">
        <v>35</v>
      </c>
      <c r="K129" s="1"/>
    </row>
    <row r="130" spans="1:11" x14ac:dyDescent="0.2">
      <c r="A130" s="27">
        <v>125</v>
      </c>
      <c r="B130" s="2" t="s">
        <v>40</v>
      </c>
      <c r="C130" s="2">
        <v>202</v>
      </c>
      <c r="D130" s="28">
        <v>1185</v>
      </c>
      <c r="E130" s="29">
        <v>1329</v>
      </c>
      <c r="F130" s="29">
        <v>1660</v>
      </c>
      <c r="G130" s="30">
        <v>84.38</v>
      </c>
      <c r="H130" s="20" t="s">
        <v>37</v>
      </c>
      <c r="I130" s="23" t="s">
        <v>35</v>
      </c>
      <c r="K130" s="1"/>
    </row>
    <row r="131" spans="1:11" x14ac:dyDescent="0.2">
      <c r="A131" s="27">
        <v>126</v>
      </c>
      <c r="B131" s="2" t="s">
        <v>40</v>
      </c>
      <c r="C131" s="2">
        <v>204</v>
      </c>
      <c r="D131" s="28">
        <v>1185</v>
      </c>
      <c r="E131" s="29">
        <v>1329</v>
      </c>
      <c r="F131" s="29">
        <v>1660</v>
      </c>
      <c r="G131" s="30">
        <v>84.38</v>
      </c>
      <c r="H131" s="20" t="s">
        <v>37</v>
      </c>
      <c r="I131" s="23" t="s">
        <v>35</v>
      </c>
      <c r="K131" s="1"/>
    </row>
    <row r="132" spans="1:11" x14ac:dyDescent="0.2">
      <c r="A132" s="27">
        <v>127</v>
      </c>
      <c r="B132" s="2" t="s">
        <v>40</v>
      </c>
      <c r="C132" s="2">
        <v>205</v>
      </c>
      <c r="D132" s="28">
        <v>1185</v>
      </c>
      <c r="E132" s="29">
        <v>1329</v>
      </c>
      <c r="F132" s="29">
        <v>1660</v>
      </c>
      <c r="G132" s="30">
        <v>84.38</v>
      </c>
      <c r="H132" s="20" t="s">
        <v>37</v>
      </c>
      <c r="I132" s="23" t="s">
        <v>35</v>
      </c>
      <c r="K132" s="1"/>
    </row>
    <row r="133" spans="1:11" x14ac:dyDescent="0.2">
      <c r="A133" s="27">
        <v>128</v>
      </c>
      <c r="B133" s="2" t="s">
        <v>40</v>
      </c>
      <c r="C133" s="2">
        <v>207</v>
      </c>
      <c r="D133" s="28">
        <v>1185</v>
      </c>
      <c r="E133" s="29">
        <v>1329</v>
      </c>
      <c r="F133" s="29">
        <v>1660</v>
      </c>
      <c r="G133" s="30">
        <v>84.38</v>
      </c>
      <c r="H133" s="20" t="s">
        <v>37</v>
      </c>
      <c r="I133" s="23" t="s">
        <v>35</v>
      </c>
    </row>
    <row r="134" spans="1:11" x14ac:dyDescent="0.2">
      <c r="A134" s="27">
        <v>129</v>
      </c>
      <c r="B134" s="2" t="s">
        <v>40</v>
      </c>
      <c r="C134" s="2">
        <v>301</v>
      </c>
      <c r="D134" s="28">
        <v>1185</v>
      </c>
      <c r="E134" s="29">
        <v>1329</v>
      </c>
      <c r="F134" s="29">
        <v>1660</v>
      </c>
      <c r="G134" s="30">
        <v>84.38</v>
      </c>
      <c r="H134" s="20" t="s">
        <v>37</v>
      </c>
      <c r="I134" s="23" t="s">
        <v>35</v>
      </c>
    </row>
    <row r="135" spans="1:11" x14ac:dyDescent="0.2">
      <c r="A135" s="27">
        <v>130</v>
      </c>
      <c r="B135" s="2" t="s">
        <v>40</v>
      </c>
      <c r="C135" s="2">
        <v>303</v>
      </c>
      <c r="D135" s="28">
        <v>1185</v>
      </c>
      <c r="E135" s="29">
        <v>1329</v>
      </c>
      <c r="F135" s="29">
        <v>1660</v>
      </c>
      <c r="G135" s="30">
        <v>84.38</v>
      </c>
      <c r="H135" s="20" t="s">
        <v>37</v>
      </c>
      <c r="I135" s="23" t="s">
        <v>35</v>
      </c>
    </row>
    <row r="136" spans="1:11" x14ac:dyDescent="0.2">
      <c r="A136" s="27">
        <v>131</v>
      </c>
      <c r="B136" s="2" t="s">
        <v>40</v>
      </c>
      <c r="C136" s="2">
        <v>304</v>
      </c>
      <c r="D136" s="28">
        <v>1185</v>
      </c>
      <c r="E136" s="29">
        <v>1329</v>
      </c>
      <c r="F136" s="29">
        <v>1660</v>
      </c>
      <c r="G136" s="30">
        <v>84.38</v>
      </c>
      <c r="H136" s="20" t="s">
        <v>37</v>
      </c>
      <c r="I136" s="23" t="s">
        <v>35</v>
      </c>
    </row>
    <row r="137" spans="1:11" x14ac:dyDescent="0.2">
      <c r="A137" s="27">
        <v>132</v>
      </c>
      <c r="B137" s="2" t="s">
        <v>40</v>
      </c>
      <c r="C137" s="2">
        <v>306</v>
      </c>
      <c r="D137" s="28">
        <v>1185</v>
      </c>
      <c r="E137" s="29">
        <v>1329</v>
      </c>
      <c r="F137" s="29">
        <v>1660</v>
      </c>
      <c r="G137" s="30">
        <v>84.38</v>
      </c>
      <c r="H137" s="20" t="s">
        <v>37</v>
      </c>
      <c r="I137" s="23" t="s">
        <v>35</v>
      </c>
    </row>
    <row r="138" spans="1:11" x14ac:dyDescent="0.2">
      <c r="A138" s="27">
        <v>133</v>
      </c>
      <c r="B138" s="2" t="s">
        <v>40</v>
      </c>
      <c r="C138" s="2">
        <v>307</v>
      </c>
      <c r="D138" s="28">
        <v>1185</v>
      </c>
      <c r="E138" s="29">
        <v>1329</v>
      </c>
      <c r="F138" s="29">
        <v>1660</v>
      </c>
      <c r="G138" s="30">
        <v>84.38</v>
      </c>
      <c r="H138" s="20" t="s">
        <v>37</v>
      </c>
      <c r="I138" s="23" t="s">
        <v>35</v>
      </c>
    </row>
    <row r="139" spans="1:11" x14ac:dyDescent="0.2">
      <c r="A139" s="27">
        <v>134</v>
      </c>
      <c r="B139" s="2" t="s">
        <v>40</v>
      </c>
      <c r="C139" s="2">
        <v>402</v>
      </c>
      <c r="D139" s="28">
        <v>1185</v>
      </c>
      <c r="E139" s="29">
        <v>1329</v>
      </c>
      <c r="F139" s="29">
        <v>1660</v>
      </c>
      <c r="G139" s="30">
        <v>84.38</v>
      </c>
      <c r="H139" s="20" t="s">
        <v>37</v>
      </c>
      <c r="I139" s="23" t="s">
        <v>35</v>
      </c>
    </row>
    <row r="140" spans="1:11" x14ac:dyDescent="0.2">
      <c r="A140" s="27">
        <v>135</v>
      </c>
      <c r="B140" s="2" t="s">
        <v>40</v>
      </c>
      <c r="C140" s="2">
        <v>403</v>
      </c>
      <c r="D140" s="28">
        <v>1185</v>
      </c>
      <c r="E140" s="29">
        <v>1329</v>
      </c>
      <c r="F140" s="29">
        <v>1660</v>
      </c>
      <c r="G140" s="30">
        <v>84.38</v>
      </c>
      <c r="H140" s="20" t="s">
        <v>37</v>
      </c>
      <c r="I140" s="23" t="s">
        <v>35</v>
      </c>
    </row>
    <row r="141" spans="1:11" x14ac:dyDescent="0.2">
      <c r="A141" s="27">
        <v>136</v>
      </c>
      <c r="B141" s="2" t="s">
        <v>40</v>
      </c>
      <c r="C141" s="2">
        <v>405</v>
      </c>
      <c r="D141" s="28">
        <v>1185</v>
      </c>
      <c r="E141" s="29">
        <v>1329</v>
      </c>
      <c r="F141" s="29">
        <v>1660</v>
      </c>
      <c r="G141" s="30">
        <v>84.38</v>
      </c>
      <c r="H141" s="20" t="s">
        <v>37</v>
      </c>
      <c r="I141" s="23" t="s">
        <v>35</v>
      </c>
    </row>
    <row r="142" spans="1:11" x14ac:dyDescent="0.2">
      <c r="A142" s="27">
        <v>137</v>
      </c>
      <c r="B142" s="2" t="s">
        <v>40</v>
      </c>
      <c r="C142" s="2">
        <v>406</v>
      </c>
      <c r="D142" s="28">
        <v>1185</v>
      </c>
      <c r="E142" s="29">
        <v>1329</v>
      </c>
      <c r="F142" s="29">
        <v>1660</v>
      </c>
      <c r="G142" s="30">
        <v>84.38</v>
      </c>
      <c r="H142" s="20" t="s">
        <v>37</v>
      </c>
      <c r="I142" s="23" t="s">
        <v>35</v>
      </c>
    </row>
    <row r="143" spans="1:11" x14ac:dyDescent="0.2">
      <c r="A143" s="27">
        <v>138</v>
      </c>
      <c r="B143" s="2" t="s">
        <v>40</v>
      </c>
      <c r="C143" s="2">
        <v>501</v>
      </c>
      <c r="D143" s="28">
        <v>1185</v>
      </c>
      <c r="E143" s="29">
        <v>1329</v>
      </c>
      <c r="F143" s="29">
        <v>1660</v>
      </c>
      <c r="G143" s="30">
        <v>84.38</v>
      </c>
      <c r="H143" s="20" t="s">
        <v>37</v>
      </c>
      <c r="I143" s="23" t="s">
        <v>35</v>
      </c>
    </row>
    <row r="144" spans="1:11" x14ac:dyDescent="0.2">
      <c r="A144" s="27">
        <v>139</v>
      </c>
      <c r="B144" s="2" t="s">
        <v>40</v>
      </c>
      <c r="C144" s="2">
        <v>502</v>
      </c>
      <c r="D144" s="28">
        <v>1185</v>
      </c>
      <c r="E144" s="29">
        <v>1329</v>
      </c>
      <c r="F144" s="29">
        <v>1660</v>
      </c>
      <c r="G144" s="30">
        <v>84.38</v>
      </c>
      <c r="H144" s="20" t="s">
        <v>37</v>
      </c>
      <c r="I144" s="23" t="s">
        <v>35</v>
      </c>
    </row>
    <row r="145" spans="1:9" x14ac:dyDescent="0.2">
      <c r="A145" s="27">
        <v>140</v>
      </c>
      <c r="B145" s="2" t="s">
        <v>40</v>
      </c>
      <c r="C145" s="2">
        <v>504</v>
      </c>
      <c r="D145" s="28">
        <v>1185</v>
      </c>
      <c r="E145" s="29">
        <v>1329</v>
      </c>
      <c r="F145" s="29">
        <v>1660</v>
      </c>
      <c r="G145" s="30">
        <v>84.38</v>
      </c>
      <c r="H145" s="20" t="s">
        <v>37</v>
      </c>
      <c r="I145" s="23" t="s">
        <v>35</v>
      </c>
    </row>
    <row r="146" spans="1:9" x14ac:dyDescent="0.2">
      <c r="A146" s="27">
        <v>141</v>
      </c>
      <c r="B146" s="2" t="s">
        <v>40</v>
      </c>
      <c r="C146" s="2">
        <v>505</v>
      </c>
      <c r="D146" s="28">
        <v>1185</v>
      </c>
      <c r="E146" s="29">
        <v>1329</v>
      </c>
      <c r="F146" s="29">
        <v>1660</v>
      </c>
      <c r="G146" s="30">
        <v>84.38</v>
      </c>
      <c r="H146" s="20" t="s">
        <v>37</v>
      </c>
      <c r="I146" s="23" t="s">
        <v>35</v>
      </c>
    </row>
    <row r="147" spans="1:9" x14ac:dyDescent="0.2">
      <c r="A147" s="27">
        <v>142</v>
      </c>
      <c r="B147" s="2" t="s">
        <v>40</v>
      </c>
      <c r="C147" s="2">
        <v>601</v>
      </c>
      <c r="D147" s="28">
        <v>1185</v>
      </c>
      <c r="E147" s="29">
        <v>1329</v>
      </c>
      <c r="F147" s="29">
        <v>1660</v>
      </c>
      <c r="G147" s="30">
        <v>84.38</v>
      </c>
      <c r="H147" s="20" t="s">
        <v>37</v>
      </c>
      <c r="I147" s="23" t="s">
        <v>35</v>
      </c>
    </row>
    <row r="148" spans="1:9" x14ac:dyDescent="0.2">
      <c r="A148" s="27">
        <v>143</v>
      </c>
      <c r="B148" s="2" t="s">
        <v>40</v>
      </c>
      <c r="C148" s="2">
        <v>603</v>
      </c>
      <c r="D148" s="28">
        <v>1185</v>
      </c>
      <c r="E148" s="29">
        <v>1329</v>
      </c>
      <c r="F148" s="29">
        <v>1660</v>
      </c>
      <c r="G148" s="30">
        <v>84.38</v>
      </c>
      <c r="H148" s="20" t="s">
        <v>37</v>
      </c>
      <c r="I148" s="23" t="s">
        <v>35</v>
      </c>
    </row>
    <row r="149" spans="1:9" x14ac:dyDescent="0.2">
      <c r="A149" s="27">
        <v>144</v>
      </c>
      <c r="B149" s="2" t="s">
        <v>40</v>
      </c>
      <c r="C149" s="2">
        <v>604</v>
      </c>
      <c r="D149" s="28">
        <v>1185</v>
      </c>
      <c r="E149" s="29">
        <v>1329</v>
      </c>
      <c r="F149" s="29">
        <v>1660</v>
      </c>
      <c r="G149" s="30">
        <v>84.38</v>
      </c>
      <c r="H149" s="20" t="s">
        <v>37</v>
      </c>
      <c r="I149" s="23" t="s">
        <v>35</v>
      </c>
    </row>
    <row r="150" spans="1:9" x14ac:dyDescent="0.2">
      <c r="A150" s="27">
        <v>145</v>
      </c>
      <c r="B150" s="2" t="s">
        <v>40</v>
      </c>
      <c r="C150" s="2">
        <v>606</v>
      </c>
      <c r="D150" s="28">
        <v>1185</v>
      </c>
      <c r="E150" s="29">
        <v>1329</v>
      </c>
      <c r="F150" s="29">
        <v>1660</v>
      </c>
      <c r="G150" s="30">
        <v>84.38</v>
      </c>
      <c r="H150" s="20" t="s">
        <v>37</v>
      </c>
      <c r="I150" s="23" t="s">
        <v>35</v>
      </c>
    </row>
    <row r="151" spans="1:9" x14ac:dyDescent="0.2">
      <c r="A151" s="27">
        <v>146</v>
      </c>
      <c r="B151" s="2" t="s">
        <v>40</v>
      </c>
      <c r="C151" s="2">
        <v>607</v>
      </c>
      <c r="D151" s="28">
        <v>1185</v>
      </c>
      <c r="E151" s="29">
        <v>1329</v>
      </c>
      <c r="F151" s="29">
        <v>1660</v>
      </c>
      <c r="G151" s="30">
        <v>84.38</v>
      </c>
      <c r="H151" s="20" t="s">
        <v>37</v>
      </c>
      <c r="I151" s="23" t="s">
        <v>35</v>
      </c>
    </row>
    <row r="152" spans="1:9" x14ac:dyDescent="0.2">
      <c r="A152" s="27">
        <v>147</v>
      </c>
      <c r="B152" s="2" t="s">
        <v>41</v>
      </c>
      <c r="C152" s="2">
        <v>102</v>
      </c>
      <c r="D152" s="28">
        <v>945</v>
      </c>
      <c r="E152" s="29">
        <v>1089</v>
      </c>
      <c r="F152" s="29">
        <v>1360</v>
      </c>
      <c r="G152" s="30">
        <v>69.13</v>
      </c>
      <c r="H152" s="20" t="s">
        <v>34</v>
      </c>
      <c r="I152" s="23" t="s">
        <v>35</v>
      </c>
    </row>
    <row r="153" spans="1:9" x14ac:dyDescent="0.2">
      <c r="A153" s="27">
        <v>148</v>
      </c>
      <c r="B153" s="2" t="s">
        <v>41</v>
      </c>
      <c r="C153" s="2">
        <v>105</v>
      </c>
      <c r="D153" s="28">
        <v>945</v>
      </c>
      <c r="E153" s="29">
        <v>1089</v>
      </c>
      <c r="F153" s="29">
        <v>1360</v>
      </c>
      <c r="G153" s="30">
        <v>69.13</v>
      </c>
      <c r="H153" s="20" t="s">
        <v>37</v>
      </c>
      <c r="I153" s="23" t="s">
        <v>35</v>
      </c>
    </row>
    <row r="154" spans="1:9" x14ac:dyDescent="0.2">
      <c r="A154" s="27">
        <v>149</v>
      </c>
      <c r="B154" s="2" t="s">
        <v>41</v>
      </c>
      <c r="C154" s="2">
        <v>106</v>
      </c>
      <c r="D154" s="28">
        <v>945</v>
      </c>
      <c r="E154" s="29">
        <v>1089</v>
      </c>
      <c r="F154" s="29">
        <v>1360</v>
      </c>
      <c r="G154" s="30">
        <v>69.13</v>
      </c>
      <c r="H154" s="20" t="s">
        <v>34</v>
      </c>
      <c r="I154" s="23" t="s">
        <v>35</v>
      </c>
    </row>
    <row r="155" spans="1:9" x14ac:dyDescent="0.2">
      <c r="A155" s="27">
        <v>150</v>
      </c>
      <c r="B155" s="2" t="s">
        <v>41</v>
      </c>
      <c r="C155" s="2">
        <v>202</v>
      </c>
      <c r="D155" s="28">
        <v>945</v>
      </c>
      <c r="E155" s="29">
        <v>1089</v>
      </c>
      <c r="F155" s="29">
        <v>1360</v>
      </c>
      <c r="G155" s="30">
        <v>69.13</v>
      </c>
      <c r="H155" s="20" t="s">
        <v>37</v>
      </c>
      <c r="I155" s="23" t="s">
        <v>35</v>
      </c>
    </row>
    <row r="156" spans="1:9" x14ac:dyDescent="0.2">
      <c r="A156" s="27">
        <v>151</v>
      </c>
      <c r="B156" s="2" t="s">
        <v>41</v>
      </c>
      <c r="C156" s="2">
        <v>203</v>
      </c>
      <c r="D156" s="28">
        <v>945</v>
      </c>
      <c r="E156" s="29">
        <v>1089</v>
      </c>
      <c r="F156" s="29">
        <v>1360</v>
      </c>
      <c r="G156" s="30">
        <v>69.13</v>
      </c>
      <c r="H156" s="20" t="s">
        <v>37</v>
      </c>
      <c r="I156" s="23" t="s">
        <v>35</v>
      </c>
    </row>
    <row r="157" spans="1:9" x14ac:dyDescent="0.2">
      <c r="A157" s="27">
        <v>152</v>
      </c>
      <c r="B157" s="2" t="s">
        <v>41</v>
      </c>
      <c r="C157" s="2">
        <v>205</v>
      </c>
      <c r="D157" s="28">
        <v>945</v>
      </c>
      <c r="E157" s="29">
        <v>1089</v>
      </c>
      <c r="F157" s="29">
        <v>1360</v>
      </c>
      <c r="G157" s="30">
        <v>69.13</v>
      </c>
      <c r="H157" s="20" t="s">
        <v>37</v>
      </c>
      <c r="I157" s="23" t="s">
        <v>35</v>
      </c>
    </row>
    <row r="158" spans="1:9" x14ac:dyDescent="0.2">
      <c r="A158" s="27">
        <v>153</v>
      </c>
      <c r="B158" s="2" t="s">
        <v>41</v>
      </c>
      <c r="C158" s="2">
        <v>206</v>
      </c>
      <c r="D158" s="28">
        <v>945</v>
      </c>
      <c r="E158" s="29">
        <v>1089</v>
      </c>
      <c r="F158" s="29">
        <v>1360</v>
      </c>
      <c r="G158" s="30">
        <v>69.13</v>
      </c>
      <c r="H158" s="20" t="s">
        <v>37</v>
      </c>
      <c r="I158" s="23" t="s">
        <v>35</v>
      </c>
    </row>
    <row r="159" spans="1:9" x14ac:dyDescent="0.2">
      <c r="A159" s="27">
        <v>154</v>
      </c>
      <c r="B159" s="2" t="s">
        <v>41</v>
      </c>
      <c r="C159" s="2">
        <v>302</v>
      </c>
      <c r="D159" s="28">
        <v>945</v>
      </c>
      <c r="E159" s="29">
        <v>1089</v>
      </c>
      <c r="F159" s="29">
        <v>1360</v>
      </c>
      <c r="G159" s="30">
        <v>69.13</v>
      </c>
      <c r="H159" s="20" t="s">
        <v>34</v>
      </c>
      <c r="I159" s="23" t="s">
        <v>35</v>
      </c>
    </row>
    <row r="160" spans="1:9" x14ac:dyDescent="0.2">
      <c r="A160" s="27">
        <v>155</v>
      </c>
      <c r="B160" s="2" t="s">
        <v>41</v>
      </c>
      <c r="C160" s="2">
        <v>303</v>
      </c>
      <c r="D160" s="28">
        <v>945</v>
      </c>
      <c r="E160" s="29">
        <v>1089</v>
      </c>
      <c r="F160" s="29">
        <v>1360</v>
      </c>
      <c r="G160" s="30">
        <v>69.13</v>
      </c>
      <c r="H160" s="20" t="s">
        <v>34</v>
      </c>
      <c r="I160" s="23" t="s">
        <v>35</v>
      </c>
    </row>
    <row r="161" spans="1:9" x14ac:dyDescent="0.2">
      <c r="A161" s="27">
        <v>156</v>
      </c>
      <c r="B161" s="2" t="s">
        <v>41</v>
      </c>
      <c r="C161" s="2">
        <v>305</v>
      </c>
      <c r="D161" s="28">
        <v>945</v>
      </c>
      <c r="E161" s="29">
        <v>1089</v>
      </c>
      <c r="F161" s="29">
        <v>1360</v>
      </c>
      <c r="G161" s="30">
        <v>69.13</v>
      </c>
      <c r="H161" s="20" t="s">
        <v>34</v>
      </c>
      <c r="I161" s="23" t="s">
        <v>35</v>
      </c>
    </row>
    <row r="162" spans="1:9" x14ac:dyDescent="0.2">
      <c r="A162" s="27">
        <v>157</v>
      </c>
      <c r="B162" s="2" t="s">
        <v>41</v>
      </c>
      <c r="C162" s="2">
        <v>306</v>
      </c>
      <c r="D162" s="28">
        <v>945</v>
      </c>
      <c r="E162" s="29">
        <v>1089</v>
      </c>
      <c r="F162" s="29">
        <v>1360</v>
      </c>
      <c r="G162" s="30">
        <v>69.13</v>
      </c>
      <c r="H162" s="20" t="s">
        <v>34</v>
      </c>
      <c r="I162" s="23" t="s">
        <v>35</v>
      </c>
    </row>
    <row r="163" spans="1:9" x14ac:dyDescent="0.2">
      <c r="A163" s="27">
        <v>158</v>
      </c>
      <c r="B163" s="2" t="s">
        <v>41</v>
      </c>
      <c r="C163" s="2">
        <v>402</v>
      </c>
      <c r="D163" s="28">
        <v>945</v>
      </c>
      <c r="E163" s="29">
        <v>1089</v>
      </c>
      <c r="F163" s="29">
        <v>1360</v>
      </c>
      <c r="G163" s="30">
        <v>69.13</v>
      </c>
      <c r="H163" s="20" t="s">
        <v>34</v>
      </c>
      <c r="I163" s="23" t="s">
        <v>35</v>
      </c>
    </row>
    <row r="164" spans="1:9" x14ac:dyDescent="0.2">
      <c r="A164" s="27">
        <v>159</v>
      </c>
      <c r="B164" s="2" t="s">
        <v>41</v>
      </c>
      <c r="C164" s="2">
        <v>403</v>
      </c>
      <c r="D164" s="28">
        <v>945</v>
      </c>
      <c r="E164" s="29">
        <v>1089</v>
      </c>
      <c r="F164" s="29">
        <v>1360</v>
      </c>
      <c r="G164" s="30">
        <v>69.13</v>
      </c>
      <c r="H164" s="20" t="s">
        <v>34</v>
      </c>
      <c r="I164" s="23" t="s">
        <v>35</v>
      </c>
    </row>
    <row r="165" spans="1:9" x14ac:dyDescent="0.2">
      <c r="A165" s="27">
        <v>160</v>
      </c>
      <c r="B165" s="2" t="s">
        <v>41</v>
      </c>
      <c r="C165" s="2">
        <v>405</v>
      </c>
      <c r="D165" s="28">
        <v>945</v>
      </c>
      <c r="E165" s="29">
        <v>1089</v>
      </c>
      <c r="F165" s="29">
        <v>1360</v>
      </c>
      <c r="G165" s="30">
        <v>69.13</v>
      </c>
      <c r="H165" s="20" t="s">
        <v>34</v>
      </c>
      <c r="I165" s="23" t="s">
        <v>35</v>
      </c>
    </row>
    <row r="166" spans="1:9" x14ac:dyDescent="0.2">
      <c r="A166" s="27">
        <v>161</v>
      </c>
      <c r="B166" s="2" t="s">
        <v>41</v>
      </c>
      <c r="C166" s="2">
        <v>406</v>
      </c>
      <c r="D166" s="28">
        <v>945</v>
      </c>
      <c r="E166" s="29">
        <v>1089</v>
      </c>
      <c r="F166" s="29">
        <v>1360</v>
      </c>
      <c r="G166" s="30">
        <v>69.13</v>
      </c>
      <c r="H166" s="20" t="s">
        <v>34</v>
      </c>
      <c r="I166" s="23" t="s">
        <v>35</v>
      </c>
    </row>
    <row r="167" spans="1:9" x14ac:dyDescent="0.2">
      <c r="A167" s="27">
        <v>162</v>
      </c>
      <c r="B167" s="2" t="s">
        <v>41</v>
      </c>
      <c r="C167" s="2">
        <v>502</v>
      </c>
      <c r="D167" s="28">
        <v>945</v>
      </c>
      <c r="E167" s="29">
        <v>1089</v>
      </c>
      <c r="F167" s="29">
        <v>1360</v>
      </c>
      <c r="G167" s="30">
        <v>69.13</v>
      </c>
      <c r="H167" s="20" t="s">
        <v>34</v>
      </c>
      <c r="I167" s="23" t="s">
        <v>35</v>
      </c>
    </row>
    <row r="168" spans="1:9" x14ac:dyDescent="0.2">
      <c r="A168" s="27">
        <v>163</v>
      </c>
      <c r="B168" s="2" t="s">
        <v>41</v>
      </c>
      <c r="C168" s="2">
        <v>503</v>
      </c>
      <c r="D168" s="28">
        <v>945</v>
      </c>
      <c r="E168" s="29">
        <v>1089</v>
      </c>
      <c r="F168" s="29">
        <v>1360</v>
      </c>
      <c r="G168" s="30">
        <v>69.13</v>
      </c>
      <c r="H168" s="20" t="s">
        <v>34</v>
      </c>
      <c r="I168" s="23" t="s">
        <v>35</v>
      </c>
    </row>
    <row r="169" spans="1:9" x14ac:dyDescent="0.2">
      <c r="A169" s="27">
        <v>164</v>
      </c>
      <c r="B169" s="2" t="s">
        <v>41</v>
      </c>
      <c r="C169" s="2">
        <v>505</v>
      </c>
      <c r="D169" s="28">
        <v>945</v>
      </c>
      <c r="E169" s="29">
        <v>1089</v>
      </c>
      <c r="F169" s="29">
        <v>1360</v>
      </c>
      <c r="G169" s="30">
        <v>69.13</v>
      </c>
      <c r="H169" s="20" t="s">
        <v>37</v>
      </c>
      <c r="I169" s="23" t="s">
        <v>35</v>
      </c>
    </row>
    <row r="170" spans="1:9" x14ac:dyDescent="0.2">
      <c r="A170" s="27">
        <v>165</v>
      </c>
      <c r="B170" s="2" t="s">
        <v>41</v>
      </c>
      <c r="C170" s="2">
        <v>506</v>
      </c>
      <c r="D170" s="28">
        <v>945</v>
      </c>
      <c r="E170" s="29">
        <v>1089</v>
      </c>
      <c r="F170" s="29">
        <v>1360</v>
      </c>
      <c r="G170" s="30">
        <v>69.13</v>
      </c>
      <c r="H170" s="20" t="s">
        <v>34</v>
      </c>
      <c r="I170" s="23" t="s">
        <v>35</v>
      </c>
    </row>
    <row r="171" spans="1:9" x14ac:dyDescent="0.2">
      <c r="A171" s="27">
        <v>166</v>
      </c>
      <c r="B171" s="2" t="s">
        <v>41</v>
      </c>
      <c r="C171" s="2">
        <v>602</v>
      </c>
      <c r="D171" s="28">
        <v>945</v>
      </c>
      <c r="E171" s="29">
        <v>1089</v>
      </c>
      <c r="F171" s="29">
        <v>1360</v>
      </c>
      <c r="G171" s="30">
        <v>69.13</v>
      </c>
      <c r="H171" s="20" t="s">
        <v>34</v>
      </c>
      <c r="I171" s="23" t="s">
        <v>35</v>
      </c>
    </row>
    <row r="172" spans="1:9" x14ac:dyDescent="0.2">
      <c r="A172" s="27">
        <v>167</v>
      </c>
      <c r="B172" s="2" t="s">
        <v>41</v>
      </c>
      <c r="C172" s="2">
        <v>603</v>
      </c>
      <c r="D172" s="28">
        <v>945</v>
      </c>
      <c r="E172" s="29">
        <v>1089</v>
      </c>
      <c r="F172" s="29">
        <v>1360</v>
      </c>
      <c r="G172" s="30">
        <v>69.13</v>
      </c>
      <c r="H172" s="20" t="s">
        <v>34</v>
      </c>
      <c r="I172" s="23" t="s">
        <v>35</v>
      </c>
    </row>
    <row r="173" spans="1:9" x14ac:dyDescent="0.2">
      <c r="A173" s="27">
        <v>168</v>
      </c>
      <c r="B173" s="2" t="s">
        <v>41</v>
      </c>
      <c r="C173" s="2">
        <v>605</v>
      </c>
      <c r="D173" s="28">
        <v>945</v>
      </c>
      <c r="E173" s="29">
        <v>1089</v>
      </c>
      <c r="F173" s="29">
        <v>1360</v>
      </c>
      <c r="G173" s="30">
        <v>69.13</v>
      </c>
      <c r="H173" s="20" t="s">
        <v>37</v>
      </c>
      <c r="I173" s="23" t="s">
        <v>35</v>
      </c>
    </row>
    <row r="174" spans="1:9" x14ac:dyDescent="0.2">
      <c r="A174" s="27">
        <v>169</v>
      </c>
      <c r="B174" s="2" t="s">
        <v>41</v>
      </c>
      <c r="C174" s="2">
        <v>606</v>
      </c>
      <c r="D174" s="28">
        <v>945</v>
      </c>
      <c r="E174" s="29">
        <v>1089</v>
      </c>
      <c r="F174" s="29">
        <v>1360</v>
      </c>
      <c r="G174" s="30">
        <v>69.13</v>
      </c>
      <c r="H174" s="20" t="s">
        <v>34</v>
      </c>
      <c r="I174" s="23" t="s">
        <v>35</v>
      </c>
    </row>
    <row r="175" spans="1:9" x14ac:dyDescent="0.2">
      <c r="A175" s="27">
        <v>170</v>
      </c>
      <c r="B175" s="2" t="s">
        <v>42</v>
      </c>
      <c r="C175" s="2">
        <v>102</v>
      </c>
      <c r="D175" s="28">
        <v>945</v>
      </c>
      <c r="E175" s="29">
        <v>1089</v>
      </c>
      <c r="F175" s="29">
        <v>1360</v>
      </c>
      <c r="G175" s="30">
        <v>69.13</v>
      </c>
      <c r="H175" s="20" t="s">
        <v>37</v>
      </c>
      <c r="I175" s="23" t="s">
        <v>35</v>
      </c>
    </row>
    <row r="176" spans="1:9" x14ac:dyDescent="0.2">
      <c r="A176" s="27">
        <v>171</v>
      </c>
      <c r="B176" s="2" t="s">
        <v>42</v>
      </c>
      <c r="C176" s="2">
        <v>103</v>
      </c>
      <c r="D176" s="28">
        <v>945</v>
      </c>
      <c r="E176" s="29">
        <v>1089</v>
      </c>
      <c r="F176" s="29">
        <v>1360</v>
      </c>
      <c r="G176" s="30">
        <v>69.13</v>
      </c>
      <c r="H176" s="20" t="s">
        <v>34</v>
      </c>
      <c r="I176" s="23" t="s">
        <v>35</v>
      </c>
    </row>
    <row r="177" spans="1:9" x14ac:dyDescent="0.2">
      <c r="A177" s="27">
        <v>172</v>
      </c>
      <c r="B177" s="2" t="s">
        <v>42</v>
      </c>
      <c r="C177" s="2">
        <v>105</v>
      </c>
      <c r="D177" s="28">
        <v>945</v>
      </c>
      <c r="E177" s="29">
        <v>1089</v>
      </c>
      <c r="F177" s="29">
        <v>1360</v>
      </c>
      <c r="G177" s="30">
        <v>69.13</v>
      </c>
      <c r="H177" s="20" t="s">
        <v>37</v>
      </c>
      <c r="I177" s="23" t="s">
        <v>35</v>
      </c>
    </row>
    <row r="178" spans="1:9" x14ac:dyDescent="0.2">
      <c r="A178" s="27">
        <v>173</v>
      </c>
      <c r="B178" s="2" t="s">
        <v>42</v>
      </c>
      <c r="C178" s="2">
        <v>106</v>
      </c>
      <c r="D178" s="28">
        <v>945</v>
      </c>
      <c r="E178" s="29">
        <v>1089</v>
      </c>
      <c r="F178" s="29">
        <v>1360</v>
      </c>
      <c r="G178" s="30">
        <v>69.13</v>
      </c>
      <c r="H178" s="20" t="s">
        <v>37</v>
      </c>
      <c r="I178" s="23" t="s">
        <v>35</v>
      </c>
    </row>
    <row r="179" spans="1:9" x14ac:dyDescent="0.2">
      <c r="A179" s="27">
        <v>174</v>
      </c>
      <c r="B179" s="2" t="s">
        <v>42</v>
      </c>
      <c r="C179" s="2">
        <v>201</v>
      </c>
      <c r="D179" s="28">
        <v>945</v>
      </c>
      <c r="E179" s="29">
        <v>1089</v>
      </c>
      <c r="F179" s="29">
        <v>1360</v>
      </c>
      <c r="G179" s="30">
        <v>69.13</v>
      </c>
      <c r="H179" s="20" t="s">
        <v>37</v>
      </c>
      <c r="I179" s="23" t="s">
        <v>35</v>
      </c>
    </row>
    <row r="180" spans="1:9" x14ac:dyDescent="0.2">
      <c r="A180" s="27">
        <v>175</v>
      </c>
      <c r="B180" s="2" t="s">
        <v>42</v>
      </c>
      <c r="C180" s="2">
        <v>202</v>
      </c>
      <c r="D180" s="28">
        <v>945</v>
      </c>
      <c r="E180" s="29">
        <v>1089</v>
      </c>
      <c r="F180" s="29">
        <v>1360</v>
      </c>
      <c r="G180" s="30">
        <v>69.13</v>
      </c>
      <c r="H180" s="20" t="s">
        <v>37</v>
      </c>
      <c r="I180" s="23" t="s">
        <v>35</v>
      </c>
    </row>
    <row r="181" spans="1:9" x14ac:dyDescent="0.2">
      <c r="A181" s="27">
        <v>176</v>
      </c>
      <c r="B181" s="2" t="s">
        <v>42</v>
      </c>
      <c r="C181" s="2">
        <v>204</v>
      </c>
      <c r="D181" s="28">
        <v>945</v>
      </c>
      <c r="E181" s="29">
        <v>1089</v>
      </c>
      <c r="F181" s="29">
        <v>1360</v>
      </c>
      <c r="G181" s="30">
        <v>69.13</v>
      </c>
      <c r="H181" s="20" t="s">
        <v>37</v>
      </c>
      <c r="I181" s="23" t="s">
        <v>35</v>
      </c>
    </row>
    <row r="182" spans="1:9" x14ac:dyDescent="0.2">
      <c r="A182" s="27">
        <v>177</v>
      </c>
      <c r="B182" s="2" t="s">
        <v>42</v>
      </c>
      <c r="C182" s="2">
        <v>205</v>
      </c>
      <c r="D182" s="28">
        <v>945</v>
      </c>
      <c r="E182" s="29">
        <v>1089</v>
      </c>
      <c r="F182" s="29">
        <v>1360</v>
      </c>
      <c r="G182" s="30">
        <v>69.13</v>
      </c>
      <c r="H182" s="20" t="s">
        <v>37</v>
      </c>
      <c r="I182" s="23" t="s">
        <v>35</v>
      </c>
    </row>
    <row r="183" spans="1:9" x14ac:dyDescent="0.2">
      <c r="A183" s="27">
        <v>178</v>
      </c>
      <c r="B183" s="2" t="s">
        <v>42</v>
      </c>
      <c r="C183" s="2">
        <v>207</v>
      </c>
      <c r="D183" s="28">
        <v>945</v>
      </c>
      <c r="E183" s="29">
        <v>1089</v>
      </c>
      <c r="F183" s="29">
        <v>1360</v>
      </c>
      <c r="G183" s="30">
        <v>69.13</v>
      </c>
      <c r="H183" s="20" t="s">
        <v>34</v>
      </c>
      <c r="I183" s="23" t="s">
        <v>35</v>
      </c>
    </row>
    <row r="184" spans="1:9" x14ac:dyDescent="0.2">
      <c r="A184" s="27">
        <v>179</v>
      </c>
      <c r="B184" s="2" t="s">
        <v>42</v>
      </c>
      <c r="C184" s="2">
        <v>301</v>
      </c>
      <c r="D184" s="28">
        <v>945</v>
      </c>
      <c r="E184" s="29">
        <v>1089</v>
      </c>
      <c r="F184" s="29">
        <v>1360</v>
      </c>
      <c r="G184" s="30">
        <v>69.13</v>
      </c>
      <c r="H184" s="20" t="s">
        <v>34</v>
      </c>
      <c r="I184" s="23" t="s">
        <v>35</v>
      </c>
    </row>
    <row r="185" spans="1:9" x14ac:dyDescent="0.2">
      <c r="A185" s="27">
        <v>180</v>
      </c>
      <c r="B185" s="2" t="s">
        <v>42</v>
      </c>
      <c r="C185" s="2">
        <v>303</v>
      </c>
      <c r="D185" s="28">
        <v>945</v>
      </c>
      <c r="E185" s="29">
        <v>1089</v>
      </c>
      <c r="F185" s="29">
        <v>1360</v>
      </c>
      <c r="G185" s="30">
        <v>69.13</v>
      </c>
      <c r="H185" s="20" t="s">
        <v>34</v>
      </c>
      <c r="I185" s="23" t="s">
        <v>35</v>
      </c>
    </row>
    <row r="186" spans="1:9" x14ac:dyDescent="0.2">
      <c r="A186" s="27">
        <v>181</v>
      </c>
      <c r="B186" s="2" t="s">
        <v>42</v>
      </c>
      <c r="C186" s="2">
        <v>304</v>
      </c>
      <c r="D186" s="28">
        <v>945</v>
      </c>
      <c r="E186" s="29">
        <v>1089</v>
      </c>
      <c r="F186" s="29">
        <v>1360</v>
      </c>
      <c r="G186" s="30">
        <v>69.13</v>
      </c>
      <c r="H186" s="20" t="s">
        <v>34</v>
      </c>
      <c r="I186" s="23" t="s">
        <v>35</v>
      </c>
    </row>
    <row r="187" spans="1:9" x14ac:dyDescent="0.2">
      <c r="A187" s="27">
        <v>182</v>
      </c>
      <c r="B187" s="2" t="s">
        <v>42</v>
      </c>
      <c r="C187" s="2">
        <v>306</v>
      </c>
      <c r="D187" s="28">
        <v>945</v>
      </c>
      <c r="E187" s="29">
        <v>1089</v>
      </c>
      <c r="F187" s="29">
        <v>1360</v>
      </c>
      <c r="G187" s="30">
        <v>69.13</v>
      </c>
      <c r="H187" s="20" t="s">
        <v>34</v>
      </c>
      <c r="I187" s="23" t="s">
        <v>35</v>
      </c>
    </row>
    <row r="188" spans="1:9" x14ac:dyDescent="0.2">
      <c r="A188" s="27">
        <v>183</v>
      </c>
      <c r="B188" s="2" t="s">
        <v>42</v>
      </c>
      <c r="C188" s="2">
        <v>307</v>
      </c>
      <c r="D188" s="28">
        <v>945</v>
      </c>
      <c r="E188" s="29">
        <v>1089</v>
      </c>
      <c r="F188" s="29">
        <v>1360</v>
      </c>
      <c r="G188" s="30">
        <v>69.13</v>
      </c>
      <c r="H188" s="20" t="s">
        <v>34</v>
      </c>
      <c r="I188" s="23" t="s">
        <v>35</v>
      </c>
    </row>
    <row r="189" spans="1:9" x14ac:dyDescent="0.2">
      <c r="A189" s="27">
        <v>184</v>
      </c>
      <c r="B189" s="20" t="s">
        <v>42</v>
      </c>
      <c r="C189" s="20">
        <v>402</v>
      </c>
      <c r="D189" s="20">
        <v>945</v>
      </c>
      <c r="E189" s="31">
        <v>1089</v>
      </c>
      <c r="F189" s="32">
        <v>1360</v>
      </c>
      <c r="G189" s="21">
        <v>69.13</v>
      </c>
      <c r="H189" s="21" t="s">
        <v>37</v>
      </c>
      <c r="I189" s="23" t="s">
        <v>35</v>
      </c>
    </row>
    <row r="190" spans="1:9" x14ac:dyDescent="0.2">
      <c r="A190" s="27">
        <v>185</v>
      </c>
      <c r="B190" s="20" t="s">
        <v>42</v>
      </c>
      <c r="C190" s="20">
        <v>403</v>
      </c>
      <c r="D190" s="20">
        <v>945</v>
      </c>
      <c r="E190" s="31">
        <v>1089</v>
      </c>
      <c r="F190" s="32">
        <v>1360</v>
      </c>
      <c r="G190" s="21">
        <v>69.13</v>
      </c>
      <c r="H190" s="21" t="s">
        <v>34</v>
      </c>
      <c r="I190" s="23" t="s">
        <v>35</v>
      </c>
    </row>
    <row r="191" spans="1:9" x14ac:dyDescent="0.2">
      <c r="A191" s="27">
        <v>186</v>
      </c>
      <c r="B191" s="20" t="s">
        <v>42</v>
      </c>
      <c r="C191" s="20">
        <v>405</v>
      </c>
      <c r="D191" s="20">
        <v>945</v>
      </c>
      <c r="E191" s="31">
        <v>1089</v>
      </c>
      <c r="F191" s="32">
        <v>1360</v>
      </c>
      <c r="G191" s="21">
        <v>69.13</v>
      </c>
      <c r="H191" s="21" t="s">
        <v>34</v>
      </c>
      <c r="I191" s="23" t="s">
        <v>35</v>
      </c>
    </row>
    <row r="192" spans="1:9" x14ac:dyDescent="0.2">
      <c r="A192" s="27">
        <v>187</v>
      </c>
      <c r="B192" s="20" t="s">
        <v>42</v>
      </c>
      <c r="C192" s="20">
        <v>406</v>
      </c>
      <c r="D192" s="20">
        <v>945</v>
      </c>
      <c r="E192" s="31">
        <v>1089</v>
      </c>
      <c r="F192" s="32">
        <v>1360</v>
      </c>
      <c r="G192" s="21">
        <v>69.13</v>
      </c>
      <c r="H192" s="21" t="s">
        <v>37</v>
      </c>
      <c r="I192" s="23" t="s">
        <v>35</v>
      </c>
    </row>
    <row r="193" spans="1:9" x14ac:dyDescent="0.2">
      <c r="A193" s="27">
        <v>188</v>
      </c>
      <c r="B193" s="20" t="s">
        <v>42</v>
      </c>
      <c r="C193" s="20">
        <v>501</v>
      </c>
      <c r="D193" s="20">
        <v>945</v>
      </c>
      <c r="E193" s="31">
        <v>1089</v>
      </c>
      <c r="F193" s="32">
        <v>1360</v>
      </c>
      <c r="G193" s="21">
        <v>69.13</v>
      </c>
      <c r="H193" s="21" t="s">
        <v>34</v>
      </c>
      <c r="I193" s="23" t="s">
        <v>35</v>
      </c>
    </row>
    <row r="194" spans="1:9" x14ac:dyDescent="0.2">
      <c r="A194" s="27">
        <v>189</v>
      </c>
      <c r="B194" s="20" t="s">
        <v>42</v>
      </c>
      <c r="C194" s="20">
        <v>502</v>
      </c>
      <c r="D194" s="20">
        <v>945</v>
      </c>
      <c r="E194" s="31">
        <v>1089</v>
      </c>
      <c r="F194" s="32">
        <v>1360</v>
      </c>
      <c r="G194" s="21">
        <v>69.13</v>
      </c>
      <c r="H194" s="21" t="s">
        <v>34</v>
      </c>
      <c r="I194" s="23" t="s">
        <v>35</v>
      </c>
    </row>
    <row r="195" spans="1:9" x14ac:dyDescent="0.2">
      <c r="A195" s="27">
        <v>190</v>
      </c>
      <c r="B195" s="20" t="s">
        <v>42</v>
      </c>
      <c r="C195" s="20">
        <v>504</v>
      </c>
      <c r="D195" s="20">
        <v>945</v>
      </c>
      <c r="E195" s="31">
        <v>1089</v>
      </c>
      <c r="F195" s="32">
        <v>1360</v>
      </c>
      <c r="G195" s="21">
        <v>69.13</v>
      </c>
      <c r="H195" s="21" t="s">
        <v>34</v>
      </c>
      <c r="I195" s="23" t="s">
        <v>35</v>
      </c>
    </row>
    <row r="196" spans="1:9" x14ac:dyDescent="0.2">
      <c r="A196" s="27">
        <v>191</v>
      </c>
      <c r="B196" s="20" t="s">
        <v>42</v>
      </c>
      <c r="C196" s="20">
        <v>505</v>
      </c>
      <c r="D196" s="20">
        <v>945</v>
      </c>
      <c r="E196" s="31">
        <v>1089</v>
      </c>
      <c r="F196" s="32">
        <v>1360</v>
      </c>
      <c r="G196" s="21">
        <v>69.13</v>
      </c>
      <c r="H196" s="21" t="s">
        <v>37</v>
      </c>
      <c r="I196" s="23" t="s">
        <v>35</v>
      </c>
    </row>
    <row r="197" spans="1:9" x14ac:dyDescent="0.2">
      <c r="A197" s="27">
        <v>192</v>
      </c>
      <c r="B197" s="20" t="s">
        <v>42</v>
      </c>
      <c r="C197" s="20">
        <v>507</v>
      </c>
      <c r="D197" s="20">
        <v>945</v>
      </c>
      <c r="E197" s="31">
        <v>1089</v>
      </c>
      <c r="F197" s="32">
        <v>1360</v>
      </c>
      <c r="G197" s="21">
        <v>69.13</v>
      </c>
      <c r="H197" s="21" t="s">
        <v>34</v>
      </c>
      <c r="I197" s="23" t="s">
        <v>35</v>
      </c>
    </row>
    <row r="198" spans="1:9" x14ac:dyDescent="0.2">
      <c r="A198" s="27">
        <v>193</v>
      </c>
      <c r="B198" s="20" t="s">
        <v>42</v>
      </c>
      <c r="C198" s="20">
        <v>601</v>
      </c>
      <c r="D198" s="20">
        <v>945</v>
      </c>
      <c r="E198" s="31">
        <v>1089</v>
      </c>
      <c r="F198" s="32">
        <v>1360</v>
      </c>
      <c r="G198" s="21">
        <v>69.13</v>
      </c>
      <c r="H198" s="21" t="s">
        <v>34</v>
      </c>
      <c r="I198" s="23" t="s">
        <v>35</v>
      </c>
    </row>
    <row r="199" spans="1:9" x14ac:dyDescent="0.2">
      <c r="A199" s="27">
        <v>194</v>
      </c>
      <c r="B199" s="20" t="s">
        <v>42</v>
      </c>
      <c r="C199" s="20">
        <v>603</v>
      </c>
      <c r="D199" s="20">
        <v>945</v>
      </c>
      <c r="E199" s="31">
        <v>1089</v>
      </c>
      <c r="F199" s="32">
        <v>1360</v>
      </c>
      <c r="G199" s="21">
        <v>69.13</v>
      </c>
      <c r="H199" s="21" t="s">
        <v>37</v>
      </c>
      <c r="I199" s="23" t="s">
        <v>35</v>
      </c>
    </row>
    <row r="200" spans="1:9" x14ac:dyDescent="0.2">
      <c r="A200" s="27">
        <v>195</v>
      </c>
      <c r="B200" s="20" t="s">
        <v>42</v>
      </c>
      <c r="C200" s="20">
        <v>604</v>
      </c>
      <c r="D200" s="20">
        <v>945</v>
      </c>
      <c r="E200" s="31">
        <v>1089</v>
      </c>
      <c r="F200" s="32">
        <v>1360</v>
      </c>
      <c r="G200" s="21">
        <v>69.13</v>
      </c>
      <c r="H200" s="21" t="s">
        <v>34</v>
      </c>
      <c r="I200" s="23" t="s">
        <v>35</v>
      </c>
    </row>
    <row r="201" spans="1:9" x14ac:dyDescent="0.2">
      <c r="A201" s="27">
        <v>196</v>
      </c>
      <c r="B201" s="20" t="s">
        <v>42</v>
      </c>
      <c r="C201" s="20">
        <v>606</v>
      </c>
      <c r="D201" s="20">
        <v>945</v>
      </c>
      <c r="E201" s="31">
        <v>1089</v>
      </c>
      <c r="F201" s="32">
        <v>1360</v>
      </c>
      <c r="G201" s="21">
        <v>69.13</v>
      </c>
      <c r="H201" s="21" t="s">
        <v>37</v>
      </c>
      <c r="I201" s="23" t="s">
        <v>35</v>
      </c>
    </row>
    <row r="202" spans="1:9" x14ac:dyDescent="0.2">
      <c r="A202" s="27">
        <v>197</v>
      </c>
      <c r="B202" s="20" t="s">
        <v>42</v>
      </c>
      <c r="C202" s="20">
        <v>607</v>
      </c>
      <c r="D202" s="20">
        <v>945</v>
      </c>
      <c r="E202" s="31">
        <v>1089</v>
      </c>
      <c r="F202" s="32">
        <v>1360</v>
      </c>
      <c r="G202" s="21">
        <v>69.13</v>
      </c>
      <c r="H202" s="21" t="s">
        <v>34</v>
      </c>
      <c r="I202" s="23" t="s">
        <v>35</v>
      </c>
    </row>
    <row r="203" spans="1:9" x14ac:dyDescent="0.2">
      <c r="A203" s="27">
        <v>198</v>
      </c>
      <c r="B203" s="20" t="s">
        <v>43</v>
      </c>
      <c r="C203" s="20">
        <v>102</v>
      </c>
      <c r="D203" s="20">
        <v>945</v>
      </c>
      <c r="E203" s="31">
        <v>1089</v>
      </c>
      <c r="F203" s="32">
        <v>1360</v>
      </c>
      <c r="G203" s="21">
        <v>69.13</v>
      </c>
      <c r="H203" s="21" t="s">
        <v>37</v>
      </c>
      <c r="I203" s="23" t="s">
        <v>35</v>
      </c>
    </row>
    <row r="204" spans="1:9" x14ac:dyDescent="0.2">
      <c r="A204" s="27">
        <v>199</v>
      </c>
      <c r="B204" s="20" t="s">
        <v>43</v>
      </c>
      <c r="C204" s="20">
        <v>103</v>
      </c>
      <c r="D204" s="20">
        <v>945</v>
      </c>
      <c r="E204" s="31">
        <v>1089</v>
      </c>
      <c r="F204" s="32">
        <v>1360</v>
      </c>
      <c r="G204" s="21">
        <v>69.13</v>
      </c>
      <c r="H204" s="21" t="s">
        <v>37</v>
      </c>
      <c r="I204" s="23" t="s">
        <v>35</v>
      </c>
    </row>
    <row r="205" spans="1:9" x14ac:dyDescent="0.2">
      <c r="A205" s="27">
        <v>200</v>
      </c>
      <c r="B205" s="20" t="s">
        <v>43</v>
      </c>
      <c r="C205" s="20">
        <v>105</v>
      </c>
      <c r="D205" s="20">
        <v>945</v>
      </c>
      <c r="E205" s="31">
        <v>1089</v>
      </c>
      <c r="F205" s="32">
        <v>1360</v>
      </c>
      <c r="G205" s="21">
        <v>69.13</v>
      </c>
      <c r="H205" s="21" t="s">
        <v>37</v>
      </c>
      <c r="I205" s="23" t="s">
        <v>35</v>
      </c>
    </row>
    <row r="206" spans="1:9" x14ac:dyDescent="0.2">
      <c r="A206" s="27">
        <v>201</v>
      </c>
      <c r="B206" s="20" t="s">
        <v>43</v>
      </c>
      <c r="C206" s="20">
        <v>106</v>
      </c>
      <c r="D206" s="20">
        <v>945</v>
      </c>
      <c r="E206" s="31">
        <v>1089</v>
      </c>
      <c r="F206" s="32">
        <v>1360</v>
      </c>
      <c r="G206" s="21">
        <v>69.13</v>
      </c>
      <c r="H206" s="21" t="s">
        <v>37</v>
      </c>
      <c r="I206" s="23" t="s">
        <v>35</v>
      </c>
    </row>
    <row r="207" spans="1:9" x14ac:dyDescent="0.2">
      <c r="A207" s="27">
        <v>202</v>
      </c>
      <c r="B207" s="20" t="s">
        <v>43</v>
      </c>
      <c r="C207" s="20">
        <v>201</v>
      </c>
      <c r="D207" s="20">
        <v>945</v>
      </c>
      <c r="E207" s="31">
        <v>1089</v>
      </c>
      <c r="F207" s="32">
        <v>1360</v>
      </c>
      <c r="G207" s="21">
        <v>69.13</v>
      </c>
      <c r="H207" s="21" t="s">
        <v>37</v>
      </c>
      <c r="I207" s="23" t="s">
        <v>35</v>
      </c>
    </row>
    <row r="208" spans="1:9" x14ac:dyDescent="0.2">
      <c r="A208" s="27">
        <v>203</v>
      </c>
      <c r="B208" s="20" t="s">
        <v>43</v>
      </c>
      <c r="C208" s="20">
        <v>202</v>
      </c>
      <c r="D208" s="20">
        <v>945</v>
      </c>
      <c r="E208" s="31">
        <v>1089</v>
      </c>
      <c r="F208" s="32">
        <v>1360</v>
      </c>
      <c r="G208" s="21">
        <v>69.13</v>
      </c>
      <c r="H208" s="21" t="s">
        <v>37</v>
      </c>
      <c r="I208" s="23" t="s">
        <v>35</v>
      </c>
    </row>
    <row r="209" spans="1:9" x14ac:dyDescent="0.2">
      <c r="A209" s="27">
        <v>204</v>
      </c>
      <c r="B209" s="20" t="s">
        <v>43</v>
      </c>
      <c r="C209" s="20">
        <v>204</v>
      </c>
      <c r="D209" s="20">
        <v>945</v>
      </c>
      <c r="E209" s="31">
        <v>1089</v>
      </c>
      <c r="F209" s="32">
        <v>1360</v>
      </c>
      <c r="G209" s="21">
        <v>69.13</v>
      </c>
      <c r="H209" s="21" t="s">
        <v>37</v>
      </c>
      <c r="I209" s="23" t="s">
        <v>35</v>
      </c>
    </row>
    <row r="210" spans="1:9" x14ac:dyDescent="0.2">
      <c r="A210" s="27">
        <v>205</v>
      </c>
      <c r="B210" s="20" t="s">
        <v>43</v>
      </c>
      <c r="C210" s="20">
        <v>205</v>
      </c>
      <c r="D210" s="20">
        <v>945</v>
      </c>
      <c r="E210" s="31">
        <v>1089</v>
      </c>
      <c r="F210" s="32">
        <v>1360</v>
      </c>
      <c r="G210" s="21">
        <v>69.13</v>
      </c>
      <c r="H210" s="21" t="s">
        <v>37</v>
      </c>
      <c r="I210" s="23" t="s">
        <v>35</v>
      </c>
    </row>
    <row r="211" spans="1:9" x14ac:dyDescent="0.2">
      <c r="A211" s="27">
        <v>206</v>
      </c>
      <c r="B211" s="20" t="s">
        <v>43</v>
      </c>
      <c r="C211" s="20">
        <v>207</v>
      </c>
      <c r="D211" s="20">
        <v>945</v>
      </c>
      <c r="E211" s="31">
        <v>1089</v>
      </c>
      <c r="F211" s="32">
        <v>1360</v>
      </c>
      <c r="G211" s="21">
        <v>69.13</v>
      </c>
      <c r="H211" s="21" t="s">
        <v>37</v>
      </c>
      <c r="I211" s="23" t="s">
        <v>35</v>
      </c>
    </row>
    <row r="212" spans="1:9" x14ac:dyDescent="0.2">
      <c r="A212" s="27">
        <v>207</v>
      </c>
      <c r="B212" s="20" t="s">
        <v>43</v>
      </c>
      <c r="C212" s="20">
        <v>301</v>
      </c>
      <c r="D212" s="20">
        <v>945</v>
      </c>
      <c r="E212" s="31">
        <v>1089</v>
      </c>
      <c r="F212" s="32">
        <v>1360</v>
      </c>
      <c r="G212" s="21">
        <v>69.13</v>
      </c>
      <c r="H212" s="21" t="s">
        <v>37</v>
      </c>
      <c r="I212" s="23" t="s">
        <v>35</v>
      </c>
    </row>
    <row r="213" spans="1:9" x14ac:dyDescent="0.2">
      <c r="A213" s="27">
        <v>208</v>
      </c>
      <c r="B213" s="20" t="s">
        <v>43</v>
      </c>
      <c r="C213" s="20">
        <v>303</v>
      </c>
      <c r="D213" s="20">
        <v>945</v>
      </c>
      <c r="E213" s="31">
        <v>1089</v>
      </c>
      <c r="F213" s="32">
        <v>1360</v>
      </c>
      <c r="G213" s="21">
        <v>69.13</v>
      </c>
      <c r="H213" s="21" t="s">
        <v>37</v>
      </c>
      <c r="I213" s="23" t="s">
        <v>35</v>
      </c>
    </row>
    <row r="214" spans="1:9" x14ac:dyDescent="0.2">
      <c r="A214" s="27">
        <v>209</v>
      </c>
      <c r="B214" s="20" t="s">
        <v>43</v>
      </c>
      <c r="C214" s="20">
        <v>304</v>
      </c>
      <c r="D214" s="20">
        <v>945</v>
      </c>
      <c r="E214" s="31">
        <v>1089</v>
      </c>
      <c r="F214" s="32">
        <v>1360</v>
      </c>
      <c r="G214" s="21">
        <v>69.13</v>
      </c>
      <c r="H214" s="21" t="s">
        <v>37</v>
      </c>
      <c r="I214" s="23" t="s">
        <v>35</v>
      </c>
    </row>
    <row r="215" spans="1:9" x14ac:dyDescent="0.2">
      <c r="A215" s="27">
        <v>210</v>
      </c>
      <c r="B215" s="20" t="s">
        <v>43</v>
      </c>
      <c r="C215" s="20">
        <v>306</v>
      </c>
      <c r="D215" s="20">
        <v>945</v>
      </c>
      <c r="E215" s="31">
        <v>1089</v>
      </c>
      <c r="F215" s="32">
        <v>1360</v>
      </c>
      <c r="G215" s="21">
        <v>69.13</v>
      </c>
      <c r="H215" s="21" t="s">
        <v>37</v>
      </c>
      <c r="I215" s="23" t="s">
        <v>35</v>
      </c>
    </row>
    <row r="216" spans="1:9" x14ac:dyDescent="0.2">
      <c r="A216" s="27">
        <v>211</v>
      </c>
      <c r="B216" s="20" t="s">
        <v>43</v>
      </c>
      <c r="C216" s="20">
        <v>402</v>
      </c>
      <c r="D216" s="20">
        <v>945</v>
      </c>
      <c r="E216" s="31">
        <v>1089</v>
      </c>
      <c r="F216" s="32">
        <v>1360</v>
      </c>
      <c r="G216" s="21">
        <v>69.13</v>
      </c>
      <c r="H216" s="21" t="s">
        <v>37</v>
      </c>
      <c r="I216" s="23" t="s">
        <v>35</v>
      </c>
    </row>
    <row r="217" spans="1:9" x14ac:dyDescent="0.2">
      <c r="A217" s="27">
        <v>212</v>
      </c>
      <c r="B217" s="20" t="s">
        <v>43</v>
      </c>
      <c r="C217" s="20">
        <v>403</v>
      </c>
      <c r="D217" s="20">
        <v>945</v>
      </c>
      <c r="E217" s="31">
        <v>1089</v>
      </c>
      <c r="F217" s="32">
        <v>1360</v>
      </c>
      <c r="G217" s="21">
        <v>69.13</v>
      </c>
      <c r="H217" s="21" t="s">
        <v>37</v>
      </c>
      <c r="I217" s="23" t="s">
        <v>35</v>
      </c>
    </row>
    <row r="218" spans="1:9" x14ac:dyDescent="0.2">
      <c r="A218" s="27">
        <v>213</v>
      </c>
      <c r="B218" s="20" t="s">
        <v>43</v>
      </c>
      <c r="C218" s="20">
        <v>405</v>
      </c>
      <c r="D218" s="20">
        <v>945</v>
      </c>
      <c r="E218" s="31">
        <v>1089</v>
      </c>
      <c r="F218" s="32">
        <v>1360</v>
      </c>
      <c r="G218" s="21">
        <v>69.13</v>
      </c>
      <c r="H218" s="21" t="s">
        <v>37</v>
      </c>
      <c r="I218" s="23" t="s">
        <v>35</v>
      </c>
    </row>
    <row r="219" spans="1:9" x14ac:dyDescent="0.2">
      <c r="A219" s="27">
        <v>214</v>
      </c>
      <c r="B219" s="20" t="s">
        <v>43</v>
      </c>
      <c r="C219" s="20">
        <v>406</v>
      </c>
      <c r="D219" s="20">
        <v>945</v>
      </c>
      <c r="E219" s="31">
        <v>1089</v>
      </c>
      <c r="F219" s="32">
        <v>1360</v>
      </c>
      <c r="G219" s="21">
        <v>69.13</v>
      </c>
      <c r="H219" s="21" t="s">
        <v>37</v>
      </c>
      <c r="I219" s="23" t="s">
        <v>35</v>
      </c>
    </row>
    <row r="220" spans="1:9" x14ac:dyDescent="0.2">
      <c r="A220" s="27">
        <v>215</v>
      </c>
      <c r="B220" s="20" t="s">
        <v>43</v>
      </c>
      <c r="C220" s="20">
        <v>501</v>
      </c>
      <c r="D220" s="20">
        <v>945</v>
      </c>
      <c r="E220" s="31">
        <v>1089</v>
      </c>
      <c r="F220" s="32">
        <v>1360</v>
      </c>
      <c r="G220" s="21">
        <v>69.13</v>
      </c>
      <c r="H220" s="21" t="s">
        <v>37</v>
      </c>
      <c r="I220" s="23" t="s">
        <v>35</v>
      </c>
    </row>
    <row r="221" spans="1:9" x14ac:dyDescent="0.2">
      <c r="A221" s="27">
        <v>216</v>
      </c>
      <c r="B221" s="20" t="s">
        <v>43</v>
      </c>
      <c r="C221" s="20">
        <v>502</v>
      </c>
      <c r="D221" s="20">
        <v>945</v>
      </c>
      <c r="E221" s="31">
        <v>1089</v>
      </c>
      <c r="F221" s="32">
        <v>1360</v>
      </c>
      <c r="G221" s="21">
        <v>69.13</v>
      </c>
      <c r="H221" s="21" t="s">
        <v>37</v>
      </c>
      <c r="I221" s="23" t="s">
        <v>35</v>
      </c>
    </row>
    <row r="222" spans="1:9" x14ac:dyDescent="0.2">
      <c r="A222" s="27">
        <v>217</v>
      </c>
      <c r="B222" s="20" t="s">
        <v>43</v>
      </c>
      <c r="C222" s="20">
        <v>504</v>
      </c>
      <c r="D222" s="20">
        <v>945</v>
      </c>
      <c r="E222" s="31">
        <v>1089</v>
      </c>
      <c r="F222" s="32">
        <v>1360</v>
      </c>
      <c r="G222" s="21">
        <v>69.13</v>
      </c>
      <c r="H222" s="21" t="s">
        <v>37</v>
      </c>
      <c r="I222" s="23" t="s">
        <v>35</v>
      </c>
    </row>
    <row r="223" spans="1:9" x14ac:dyDescent="0.2">
      <c r="A223" s="27">
        <v>218</v>
      </c>
      <c r="B223" s="20" t="s">
        <v>43</v>
      </c>
      <c r="C223" s="20">
        <v>505</v>
      </c>
      <c r="D223" s="20">
        <v>945</v>
      </c>
      <c r="E223" s="31">
        <v>1089</v>
      </c>
      <c r="F223" s="32">
        <v>1360</v>
      </c>
      <c r="G223" s="21">
        <v>69.13</v>
      </c>
      <c r="H223" s="21" t="s">
        <v>37</v>
      </c>
      <c r="I223" s="23" t="s">
        <v>35</v>
      </c>
    </row>
    <row r="224" spans="1:9" x14ac:dyDescent="0.2">
      <c r="A224" s="27">
        <v>219</v>
      </c>
      <c r="B224" s="20" t="s">
        <v>43</v>
      </c>
      <c r="C224" s="20">
        <v>507</v>
      </c>
      <c r="D224" s="20">
        <v>945</v>
      </c>
      <c r="E224" s="31">
        <v>1089</v>
      </c>
      <c r="F224" s="32">
        <v>1360</v>
      </c>
      <c r="G224" s="21">
        <v>69.13</v>
      </c>
      <c r="H224" s="21" t="s">
        <v>37</v>
      </c>
      <c r="I224" s="23" t="s">
        <v>35</v>
      </c>
    </row>
    <row r="225" spans="1:9" x14ac:dyDescent="0.2">
      <c r="A225" s="27">
        <v>220</v>
      </c>
      <c r="B225" s="20" t="s">
        <v>43</v>
      </c>
      <c r="C225" s="20">
        <v>601</v>
      </c>
      <c r="D225" s="20">
        <v>945</v>
      </c>
      <c r="E225" s="31">
        <v>1089</v>
      </c>
      <c r="F225" s="32">
        <v>1360</v>
      </c>
      <c r="G225" s="21">
        <v>69.13</v>
      </c>
      <c r="H225" s="21" t="s">
        <v>37</v>
      </c>
      <c r="I225" s="23" t="s">
        <v>35</v>
      </c>
    </row>
    <row r="226" spans="1:9" x14ac:dyDescent="0.2">
      <c r="A226" s="27">
        <v>221</v>
      </c>
      <c r="B226" s="20" t="s">
        <v>43</v>
      </c>
      <c r="C226" s="20">
        <v>603</v>
      </c>
      <c r="D226" s="20">
        <v>945</v>
      </c>
      <c r="E226" s="31">
        <v>1089</v>
      </c>
      <c r="F226" s="32">
        <v>1360</v>
      </c>
      <c r="G226" s="21">
        <v>69.13</v>
      </c>
      <c r="H226" s="21" t="s">
        <v>37</v>
      </c>
      <c r="I226" s="23" t="s">
        <v>35</v>
      </c>
    </row>
    <row r="227" spans="1:9" x14ac:dyDescent="0.2">
      <c r="A227" s="27">
        <v>222</v>
      </c>
      <c r="B227" s="20" t="s">
        <v>43</v>
      </c>
      <c r="C227" s="20">
        <v>604</v>
      </c>
      <c r="D227" s="20">
        <v>945</v>
      </c>
      <c r="E227" s="31">
        <v>1089</v>
      </c>
      <c r="F227" s="32">
        <v>1360</v>
      </c>
      <c r="G227" s="21">
        <v>69.13</v>
      </c>
      <c r="H227" s="21" t="s">
        <v>37</v>
      </c>
      <c r="I227" s="23" t="s">
        <v>35</v>
      </c>
    </row>
    <row r="228" spans="1:9" x14ac:dyDescent="0.2">
      <c r="A228" s="27">
        <v>223</v>
      </c>
      <c r="B228" s="20" t="s">
        <v>43</v>
      </c>
      <c r="C228" s="20">
        <v>606</v>
      </c>
      <c r="D228" s="20">
        <v>945</v>
      </c>
      <c r="E228" s="31">
        <v>1089</v>
      </c>
      <c r="F228" s="32">
        <v>1360</v>
      </c>
      <c r="G228" s="21">
        <v>69.13</v>
      </c>
      <c r="H228" s="21" t="s">
        <v>37</v>
      </c>
      <c r="I228" s="23" t="s">
        <v>35</v>
      </c>
    </row>
    <row r="229" spans="1:9" x14ac:dyDescent="0.2">
      <c r="A229" s="27">
        <v>224</v>
      </c>
      <c r="B229" s="20" t="s">
        <v>43</v>
      </c>
      <c r="C229" s="20">
        <v>607</v>
      </c>
      <c r="D229" s="20">
        <v>945</v>
      </c>
      <c r="E229" s="31">
        <v>1089</v>
      </c>
      <c r="F229" s="32">
        <v>1360</v>
      </c>
      <c r="G229" s="21">
        <v>69.13</v>
      </c>
      <c r="H229" s="21" t="s">
        <v>37</v>
      </c>
      <c r="I229" s="23" t="s">
        <v>35</v>
      </c>
    </row>
    <row r="230" spans="1:9" ht="13.5" thickBot="1" x14ac:dyDescent="0.25">
      <c r="A230" s="33"/>
      <c r="B230" s="34" t="s">
        <v>44</v>
      </c>
      <c r="C230" s="34"/>
      <c r="D230" s="35">
        <f>SUM(D6:D229)</f>
        <v>239760</v>
      </c>
      <c r="E230" s="35">
        <f>SUM(E6:E229)</f>
        <v>272016</v>
      </c>
      <c r="F230" s="35">
        <f>SUM(F6:F229)</f>
        <v>339740</v>
      </c>
      <c r="G230" s="35">
        <f>SUM(G6:G229)</f>
        <v>17269.369999999933</v>
      </c>
      <c r="H230" s="36"/>
      <c r="I230" s="37"/>
    </row>
  </sheetData>
  <printOptions gridLines="1"/>
  <pageMargins left="0.70866141732283472" right="0.70866141732283472" top="0.55118110236220474" bottom="0.55118110236220474" header="0.31496062992125984" footer="0.31496062992125984"/>
  <pageSetup paperSize="9" orientation="portrait" r:id="rId1"/>
  <headerFooter>
    <oddHeader>&amp;C&amp;F
&amp;A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RERA sold units details</vt:lpstr>
      <vt:lpstr>Receipts</vt:lpstr>
      <vt:lpstr>Sheet3</vt:lpstr>
      <vt:lpstr>land owners</vt:lpstr>
      <vt:lpstr>Sheet1</vt:lpstr>
      <vt:lpstr>Sheet2</vt:lpstr>
      <vt:lpstr>Sheet4</vt:lpstr>
      <vt:lpstr>Unit Details</vt:lpstr>
      <vt:lpstr>'RERA sold units details'!Print_Titles</vt:lpstr>
      <vt:lpstr>'Unit Details'!Print_Titles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rajyalakshmi</dc:creator>
  <cp:lastModifiedBy>accts</cp:lastModifiedBy>
  <cp:lastPrinted>2022-06-02T05:23:08Z</cp:lastPrinted>
  <dcterms:created xsi:type="dcterms:W3CDTF">2022-02-25T07:36:07Z</dcterms:created>
  <dcterms:modified xsi:type="dcterms:W3CDTF">2023-03-29T12:31:58Z</dcterms:modified>
</cp:coreProperties>
</file>