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<sst xmlns="http://schemas.openxmlformats.org/spreadsheetml/2006/main" count="184" uniqueCount="106">
  <si>
    <t>Modi Reality Genome Valley LLP</t>
  </si>
  <si>
    <t>Customer Reconcilation as on 13-02-2023</t>
  </si>
  <si>
    <t>Prepared by :K SRI HARI REDDY</t>
  </si>
  <si>
    <t>Sno</t>
  </si>
  <si>
    <t>Buyer Name</t>
  </si>
  <si>
    <t>Flat No</t>
  </si>
  <si>
    <t>Sale Consideration</t>
  </si>
  <si>
    <t>Receipts       2020 -21</t>
  </si>
  <si>
    <t>Receipts 2021-22</t>
  </si>
  <si>
    <t>Taxable Value Bill Raised 2021-22</t>
  </si>
  <si>
    <t>GST Value @1%  2022-23</t>
  </si>
  <si>
    <t>Receipts 2022-23</t>
  </si>
  <si>
    <t>Taxable Value Bill Raised 2020-21</t>
  </si>
  <si>
    <t>GST Value @1%  2020-21</t>
  </si>
  <si>
    <t>GST Value @1%  2021-22</t>
  </si>
  <si>
    <t>Taxable Value Bill Raised 2022-23</t>
  </si>
  <si>
    <t>Receipts 2023-24</t>
  </si>
  <si>
    <t>Taxable Value Bill Raised 2023-24</t>
  </si>
  <si>
    <t>GST Value @1%  2024-24</t>
  </si>
  <si>
    <t>Reg, Specs &amp; Others</t>
  </si>
  <si>
    <t>Total  Bills</t>
  </si>
  <si>
    <t>Total Receipts</t>
  </si>
  <si>
    <t>Tally Balance</t>
  </si>
  <si>
    <t>Database Balance</t>
  </si>
  <si>
    <t>Remarks</t>
  </si>
  <si>
    <t>Modi Properties Pvt Ltd</t>
  </si>
  <si>
    <t>Modi Consultancy Services</t>
  </si>
  <si>
    <t>K Srinivas Reddy</t>
  </si>
  <si>
    <t>Talled with Database</t>
  </si>
  <si>
    <t>Naga Brunda/Ravi Shankar Chiruvolu</t>
  </si>
  <si>
    <t xml:space="preserve">Thummaluru Vasudeva Reddy </t>
  </si>
  <si>
    <t>Bongu Raja Rao</t>
  </si>
  <si>
    <t>Upendra Sairam Singh Chowhan</t>
  </si>
  <si>
    <t>Ragi Anitha</t>
  </si>
  <si>
    <t>Kokkula Raju</t>
  </si>
  <si>
    <t>Kotagiri Nagesh</t>
  </si>
  <si>
    <t>Silver Pawar</t>
  </si>
  <si>
    <t>Mohan Phani Kumar Janyavula</t>
  </si>
  <si>
    <t>Vajjala Usha Rani</t>
  </si>
  <si>
    <t>Varala Maheshwarri</t>
  </si>
  <si>
    <t>Anupam Battacharya</t>
  </si>
  <si>
    <t>Mohd .Ishaq</t>
  </si>
  <si>
    <t>Giridharan Vinod</t>
  </si>
  <si>
    <t>Dutta Bala Koteshwararao</t>
  </si>
  <si>
    <t xml:space="preserve">Uday Kumar Reddy </t>
  </si>
  <si>
    <t>Prabhkur Akula</t>
  </si>
  <si>
    <t>Nilanjan Dey</t>
  </si>
  <si>
    <t>Boda Prabhakar</t>
  </si>
  <si>
    <t>Prashanth Bitla</t>
  </si>
  <si>
    <t>Anusha Keshavabhatla</t>
  </si>
  <si>
    <t>Priya Pereira</t>
  </si>
  <si>
    <t>M Padma Latha</t>
  </si>
  <si>
    <t>Danish Sharma</t>
  </si>
  <si>
    <t>David Rajesh Khanna Bandugula</t>
  </si>
  <si>
    <t>BSRC Murthy</t>
  </si>
  <si>
    <t>Preethika NK</t>
  </si>
  <si>
    <t>Prabhleen Bedi</t>
  </si>
  <si>
    <t>Akula Padma Sri</t>
  </si>
  <si>
    <t>V Ravi Raj</t>
  </si>
  <si>
    <t>Tina Agrwal</t>
  </si>
  <si>
    <t>Puroshotam Rao Jangampally</t>
  </si>
  <si>
    <t>Kulsimran Kour Bedi</t>
  </si>
  <si>
    <t>Amol Tandan</t>
  </si>
  <si>
    <t>Jakkani Raviteja</t>
  </si>
  <si>
    <t>Ramaiah Danaboyina</t>
  </si>
  <si>
    <t>Farozan F</t>
  </si>
  <si>
    <t>Stanly Pereira</t>
  </si>
  <si>
    <t>Romit Nurani</t>
  </si>
  <si>
    <t>Nayan Shah / Namrata Shah</t>
  </si>
  <si>
    <t>Arcot Gayathri</t>
  </si>
  <si>
    <t>P Anitha Reddy</t>
  </si>
  <si>
    <t>Gopal Rao Nandini Ramdas</t>
  </si>
  <si>
    <t>S Jagannathan</t>
  </si>
  <si>
    <t>Nikhel Nitesh Bagh</t>
  </si>
  <si>
    <t>Lalitha Ms</t>
  </si>
  <si>
    <t>Arpita Chatterjee</t>
  </si>
  <si>
    <t>Pendyala Lakshmi Praanna</t>
  </si>
  <si>
    <t>Mahipal Reddy Kallem</t>
  </si>
  <si>
    <t>Vinay Kumar Gollapelli</t>
  </si>
  <si>
    <t>0`0</t>
  </si>
  <si>
    <t>Peddiraju Akshmi Rajyam</t>
  </si>
  <si>
    <t xml:space="preserve">Kola Sampath Reddy </t>
  </si>
  <si>
    <t>Kavala Vishalakshi Raju</t>
  </si>
  <si>
    <t>Kothur Aparna</t>
  </si>
  <si>
    <t>Sudhakar Rao Avise</t>
  </si>
  <si>
    <t>Narapa Raju Rasagna</t>
  </si>
  <si>
    <t>Sumalatha Reddy</t>
  </si>
  <si>
    <t>Tallapali Yatheesh</t>
  </si>
  <si>
    <t>J Nishanth</t>
  </si>
  <si>
    <t>Geetha Sahgal /Sudhir Dewan</t>
  </si>
  <si>
    <t>Showri Edward Victoriya</t>
  </si>
  <si>
    <t>Pavan Kumar A</t>
  </si>
  <si>
    <t>Rakesh</t>
  </si>
  <si>
    <t>Sunaina Singh</t>
  </si>
  <si>
    <t>G Ravi Kanth</t>
  </si>
  <si>
    <t>Karthik Yellanki</t>
  </si>
  <si>
    <t>J M Sharada Rathna</t>
  </si>
  <si>
    <t>Kavala Soma Nishitha</t>
  </si>
  <si>
    <t>Kavala Soma Raju</t>
  </si>
  <si>
    <t>Arkadeb Chakrabothy</t>
  </si>
  <si>
    <t>Grand Total Values</t>
  </si>
  <si>
    <t>cancelled flats</t>
  </si>
  <si>
    <t>Arjun Bhavesh Mehta ( Cancelled )</t>
  </si>
  <si>
    <t>Tarigopula Narasimha Rao</t>
  </si>
  <si>
    <t>Royapole Srinivas</t>
  </si>
  <si>
    <t>Receipt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</si>
</sst>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_);_(* \(#,##0\);_(* &quot;-&quot;??_);_(@_)"/>
  </numFmts>
  <fonts count="30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1"/>
      <name val="Times New Roman"/>
      <charset val="134"/>
    </font>
    <font>
      <b/>
      <sz val="9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2"/>
      <name val="Calibri"/>
      <charset val="134"/>
    </font>
    <font>
      <sz val="11"/>
      <color rgb="FFFF0000"/>
      <name val="Calibri"/>
      <charset val="134"/>
      <scheme val="minor"/>
    </font>
    <font>
      <sz val="10"/>
      <color rgb="FFFF0000"/>
      <name val="Times New Roman"/>
      <charset val="134"/>
    </font>
    <font>
      <sz val="10"/>
      <color theme="1"/>
      <name val="Times New Roman"/>
      <charset val="134"/>
    </font>
    <font>
      <sz val="10.5"/>
      <color rgb="FF373A3C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/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80" fontId="4" fillId="2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180" fontId="5" fillId="0" borderId="1" xfId="1" applyNumberFormat="1" applyFont="1" applyFill="1" applyBorder="1" applyAlignment="1">
      <alignment horizontal="center" vertical="center"/>
    </xf>
    <xf numFmtId="180" fontId="5" fillId="0" borderId="1" xfId="1" applyNumberFormat="1" applyFont="1" applyFill="1" applyBorder="1" applyAlignment="1">
      <alignment vertical="center"/>
    </xf>
    <xf numFmtId="180" fontId="5" fillId="2" borderId="1" xfId="1" applyNumberFormat="1" applyFont="1" applyFill="1" applyBorder="1" applyAlignment="1">
      <alignment vertical="center"/>
    </xf>
    <xf numFmtId="180" fontId="5" fillId="2" borderId="1" xfId="1" applyNumberFormat="1" applyFont="1" applyFill="1" applyBorder="1" applyAlignment="1">
      <alignment horizontal="center" vertical="center"/>
    </xf>
    <xf numFmtId="180" fontId="5" fillId="3" borderId="1" xfId="1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180" fontId="5" fillId="4" borderId="1" xfId="1" applyNumberFormat="1" applyFont="1" applyFill="1" applyBorder="1" applyAlignment="1">
      <alignment vertical="center"/>
    </xf>
    <xf numFmtId="180" fontId="5" fillId="2" borderId="1" xfId="0" applyNumberFormat="1" applyFont="1" applyFill="1" applyBorder="1" applyAlignment="1">
      <alignment horizontal="left" vertical="center"/>
    </xf>
    <xf numFmtId="180" fontId="5" fillId="0" borderId="1" xfId="0" applyNumberFormat="1" applyFont="1" applyFill="1" applyBorder="1" applyAlignment="1">
      <alignment horizontal="left" vertical="center"/>
    </xf>
    <xf numFmtId="180" fontId="5" fillId="5" borderId="1" xfId="1" applyNumberFormat="1" applyFont="1" applyFill="1" applyBorder="1" applyAlignment="1">
      <alignment vertical="center"/>
    </xf>
    <xf numFmtId="180" fontId="5" fillId="5" borderId="1" xfId="1" applyNumberFormat="1" applyFont="1" applyFill="1" applyBorder="1" applyAlignment="1">
      <alignment horizontal="center" vertical="center"/>
    </xf>
    <xf numFmtId="180" fontId="5" fillId="5" borderId="1" xfId="0" applyNumberFormat="1" applyFont="1" applyFill="1" applyBorder="1" applyAlignment="1">
      <alignment horizontal="left" vertical="center"/>
    </xf>
    <xf numFmtId="180" fontId="5" fillId="6" borderId="1" xfId="1" applyNumberFormat="1" applyFont="1" applyFill="1" applyBorder="1" applyAlignment="1">
      <alignment horizontal="center" vertical="center"/>
    </xf>
    <xf numFmtId="180" fontId="5" fillId="7" borderId="1" xfId="1" applyNumberFormat="1" applyFont="1" applyFill="1" applyBorder="1" applyAlignment="1">
      <alignment horizontal="center" vertical="center"/>
    </xf>
    <xf numFmtId="180" fontId="5" fillId="3" borderId="1" xfId="1" applyNumberFormat="1" applyFont="1" applyFill="1" applyBorder="1" applyAlignment="1">
      <alignment horizontal="center" vertical="center"/>
    </xf>
    <xf numFmtId="180" fontId="4" fillId="0" borderId="1" xfId="1" applyNumberFormat="1" applyFont="1" applyFill="1" applyBorder="1" applyAlignment="1">
      <alignment horizontal="center" vertical="center" wrapText="1"/>
    </xf>
    <xf numFmtId="180" fontId="5" fillId="0" borderId="1" xfId="1" applyNumberFormat="1" applyFont="1" applyFill="1" applyBorder="1" applyAlignment="1">
      <alignment horizontal="right" vertical="center"/>
    </xf>
    <xf numFmtId="180" fontId="5" fillId="0" borderId="1" xfId="1" applyNumberFormat="1" applyFont="1" applyFill="1" applyBorder="1" applyAlignment="1">
      <alignment horizontal="right"/>
    </xf>
    <xf numFmtId="180" fontId="5" fillId="6" borderId="1" xfId="1" applyNumberFormat="1" applyFont="1" applyFill="1" applyBorder="1" applyAlignment="1">
      <alignment horizontal="right" vertical="center"/>
    </xf>
    <xf numFmtId="180" fontId="0" fillId="8" borderId="0" xfId="0" applyNumberFormat="1" applyFill="1">
      <alignment vertical="center"/>
    </xf>
    <xf numFmtId="180" fontId="5" fillId="7" borderId="1" xfId="1" applyNumberFormat="1" applyFont="1" applyFill="1" applyBorder="1" applyAlignment="1">
      <alignment horizontal="right" vertical="center"/>
    </xf>
    <xf numFmtId="180" fontId="0" fillId="0" borderId="0" xfId="0" applyNumberFormat="1">
      <alignment vertical="center"/>
    </xf>
    <xf numFmtId="180" fontId="1" fillId="0" borderId="0" xfId="0" applyNumberFormat="1" applyFont="1">
      <alignment vertical="center"/>
    </xf>
    <xf numFmtId="180" fontId="7" fillId="0" borderId="0" xfId="0" applyNumberFormat="1" applyFont="1">
      <alignment vertical="center"/>
    </xf>
    <xf numFmtId="180" fontId="8" fillId="0" borderId="1" xfId="1" applyNumberFormat="1" applyFont="1" applyFill="1" applyBorder="1" applyAlignment="1">
      <alignment horizontal="right" vertical="center"/>
    </xf>
    <xf numFmtId="0" fontId="7" fillId="0" borderId="0" xfId="0" applyFont="1">
      <alignment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180" fontId="4" fillId="0" borderId="3" xfId="1" applyNumberFormat="1" applyFont="1" applyFill="1" applyBorder="1" applyAlignment="1">
      <alignment horizontal="right" vertical="center"/>
    </xf>
    <xf numFmtId="180" fontId="4" fillId="2" borderId="3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180" fontId="5" fillId="0" borderId="0" xfId="1" applyNumberFormat="1" applyFont="1" applyFill="1" applyBorder="1" applyAlignment="1">
      <alignment horizontal="center" vertical="center"/>
    </xf>
    <xf numFmtId="180" fontId="5" fillId="0" borderId="0" xfId="1" applyNumberFormat="1" applyFont="1" applyFill="1" applyBorder="1" applyAlignment="1">
      <alignment vertical="center"/>
    </xf>
    <xf numFmtId="180" fontId="4" fillId="0" borderId="0" xfId="1" applyNumberFormat="1" applyFont="1" applyFill="1" applyBorder="1" applyAlignment="1">
      <alignment horizontal="right" vertical="center"/>
    </xf>
    <xf numFmtId="0" fontId="5" fillId="9" borderId="1" xfId="0" applyFont="1" applyFill="1" applyBorder="1" applyAlignment="1">
      <alignment horizontal="left" vertical="center"/>
    </xf>
    <xf numFmtId="180" fontId="5" fillId="9" borderId="1" xfId="1" applyNumberFormat="1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left" vertical="center"/>
    </xf>
    <xf numFmtId="0" fontId="8" fillId="9" borderId="1" xfId="0" applyFont="1" applyFill="1" applyBorder="1" applyAlignment="1">
      <alignment horizontal="left" vertical="center"/>
    </xf>
    <xf numFmtId="180" fontId="5" fillId="4" borderId="0" xfId="1" applyNumberFormat="1" applyFont="1" applyFill="1" applyBorder="1" applyAlignment="1">
      <alignment vertical="center"/>
    </xf>
    <xf numFmtId="180" fontId="5" fillId="9" borderId="1" xfId="1" applyNumberFormat="1" applyFont="1" applyFill="1" applyBorder="1" applyAlignment="1">
      <alignment vertical="center"/>
    </xf>
    <xf numFmtId="180" fontId="5" fillId="0" borderId="0" xfId="1" applyNumberFormat="1" applyFont="1" applyFill="1" applyBorder="1" applyAlignment="1">
      <alignment horizontal="right" vertical="center"/>
    </xf>
    <xf numFmtId="180" fontId="5" fillId="9" borderId="1" xfId="1" applyNumberFormat="1" applyFont="1" applyFill="1" applyBorder="1" applyAlignment="1">
      <alignment horizontal="right" vertical="center"/>
    </xf>
    <xf numFmtId="180" fontId="5" fillId="9" borderId="1" xfId="1" applyNumberFormat="1" applyFont="1" applyFill="1" applyBorder="1" applyAlignment="1">
      <alignment horizontal="right"/>
    </xf>
    <xf numFmtId="0" fontId="10" fillId="0" borderId="0" xfId="0" applyFont="1">
      <alignment vertical="center"/>
    </xf>
    <xf numFmtId="3" fontId="0" fillId="0" borderId="0" xfId="0" applyNumberFormat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4"/>
  <sheetViews>
    <sheetView tabSelected="1" view="pageBreakPreview" zoomScaleNormal="100" workbookViewId="0">
      <pane ySplit="4" topLeftCell="A65" activePane="bottomLeft" state="frozen"/>
      <selection/>
      <selection pane="bottomLeft" activeCell="T102" sqref="T102:U105"/>
    </sheetView>
  </sheetViews>
  <sheetFormatPr defaultColWidth="9.14285714285714" defaultRowHeight="15"/>
  <cols>
    <col min="1" max="1" width="3.71428571428571" customWidth="1"/>
    <col min="2" max="2" width="32.7142857142857" customWidth="1"/>
    <col min="3" max="3" width="6.14285714285714" customWidth="1"/>
    <col min="4" max="4" width="13" customWidth="1"/>
    <col min="5" max="5" width="10.2857142857143" style="2" customWidth="1"/>
    <col min="6" max="6" width="11.8571428571429" style="2" customWidth="1"/>
    <col min="7" max="8" width="11" style="2" customWidth="1"/>
    <col min="9" max="9" width="11.8571428571429" customWidth="1"/>
    <col min="10" max="10" width="9.28571428571429" customWidth="1"/>
    <col min="11" max="11" width="7.28571428571429" customWidth="1"/>
    <col min="12" max="12" width="11.8571428571429" style="2" customWidth="1"/>
    <col min="13" max="13" width="9.28571428571429" style="2" customWidth="1"/>
    <col min="14" max="14" width="11.8571428571429" customWidth="1"/>
    <col min="15" max="15" width="9.28571428571429" customWidth="1"/>
    <col min="16" max="16" width="11.8571428571429" customWidth="1"/>
    <col min="17" max="17" width="11" customWidth="1"/>
    <col min="18" max="18" width="11" style="2" customWidth="1"/>
    <col min="19" max="20" width="11.8571428571429" customWidth="1"/>
    <col min="21" max="21" width="11.7142857142857" customWidth="1"/>
    <col min="22" max="22" width="12" style="2" customWidth="1"/>
    <col min="23" max="23" width="10.1428571428571" customWidth="1"/>
    <col min="24" max="24" width="21.2857142857143" customWidth="1"/>
  </cols>
  <sheetData>
    <row r="1" spans="1:9">
      <c r="A1" s="3" t="s">
        <v>0</v>
      </c>
      <c r="B1" s="3"/>
      <c r="D1" s="3"/>
      <c r="E1" s="3"/>
      <c r="I1" s="17"/>
    </row>
    <row r="2" spans="1:9">
      <c r="A2" s="4" t="s">
        <v>1</v>
      </c>
      <c r="B2" s="4"/>
      <c r="D2" s="4"/>
      <c r="E2" s="4"/>
      <c r="I2" s="17"/>
    </row>
    <row r="3" spans="1:9">
      <c r="A3" s="4" t="s">
        <v>2</v>
      </c>
      <c r="B3" s="4"/>
      <c r="D3" s="4"/>
      <c r="E3" s="5"/>
      <c r="F3" s="5"/>
      <c r="G3" s="6"/>
      <c r="H3" s="6"/>
      <c r="I3" s="17"/>
    </row>
    <row r="4" ht="51" spans="1:24">
      <c r="A4" s="7" t="s">
        <v>3</v>
      </c>
      <c r="B4" s="7" t="s">
        <v>4</v>
      </c>
      <c r="C4" s="7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9</v>
      </c>
      <c r="M4" s="8" t="s">
        <v>14</v>
      </c>
      <c r="N4" s="8" t="s">
        <v>15</v>
      </c>
      <c r="O4" s="8" t="s">
        <v>10</v>
      </c>
      <c r="P4" s="8" t="s">
        <v>16</v>
      </c>
      <c r="Q4" s="8" t="s">
        <v>17</v>
      </c>
      <c r="R4" s="8" t="s">
        <v>18</v>
      </c>
      <c r="S4" s="27" t="s">
        <v>19</v>
      </c>
      <c r="T4" s="27" t="s">
        <v>20</v>
      </c>
      <c r="U4" s="27" t="s">
        <v>21</v>
      </c>
      <c r="V4" s="27" t="s">
        <v>22</v>
      </c>
      <c r="W4" s="27" t="s">
        <v>23</v>
      </c>
      <c r="X4" t="s">
        <v>24</v>
      </c>
    </row>
    <row r="5" customHeight="1" spans="1:23">
      <c r="A5" s="9">
        <v>1</v>
      </c>
      <c r="B5" s="9" t="s">
        <v>25</v>
      </c>
      <c r="C5" s="9">
        <v>103</v>
      </c>
      <c r="D5" s="10">
        <v>2270000</v>
      </c>
      <c r="E5" s="11">
        <v>0</v>
      </c>
      <c r="F5" s="12">
        <f t="shared" ref="F5:F9" si="0">225000+14700</f>
        <v>239700</v>
      </c>
      <c r="G5" s="12">
        <f t="shared" ref="G5:G9" si="1">225000+1531000+514000</f>
        <v>2270000</v>
      </c>
      <c r="H5" s="13">
        <f>G5*1%</f>
        <v>22700</v>
      </c>
      <c r="I5" s="18"/>
      <c r="J5" s="18"/>
      <c r="K5" s="18"/>
      <c r="L5" s="13">
        <f>225000+1531000+514000</f>
        <v>2270000</v>
      </c>
      <c r="M5" s="19">
        <f t="shared" ref="M5:M9" si="2">L5*1%</f>
        <v>22700</v>
      </c>
      <c r="N5" s="10"/>
      <c r="O5" s="10"/>
      <c r="P5" s="10">
        <v>2053000</v>
      </c>
      <c r="Q5" s="28"/>
      <c r="R5" s="28"/>
      <c r="S5" s="28"/>
      <c r="T5" s="28">
        <f>G5+H5+N5+O5+Q5+R5</f>
        <v>2292700</v>
      </c>
      <c r="U5" s="28"/>
      <c r="V5" s="28">
        <f>T5-U5</f>
        <v>2292700</v>
      </c>
      <c r="W5" s="29">
        <v>0</v>
      </c>
    </row>
    <row r="6" customHeight="1" spans="1:23">
      <c r="A6" s="9">
        <v>2</v>
      </c>
      <c r="B6" s="9" t="s">
        <v>25</v>
      </c>
      <c r="C6" s="9">
        <v>104</v>
      </c>
      <c r="D6" s="10">
        <v>2270000</v>
      </c>
      <c r="E6" s="11">
        <v>0</v>
      </c>
      <c r="F6" s="12">
        <f t="shared" si="0"/>
        <v>239700</v>
      </c>
      <c r="G6" s="12">
        <f t="shared" si="1"/>
        <v>2270000</v>
      </c>
      <c r="H6" s="13">
        <f t="shared" ref="H6:H37" si="3">G6*1%</f>
        <v>22700</v>
      </c>
      <c r="I6" s="18"/>
      <c r="J6" s="18"/>
      <c r="K6" s="18"/>
      <c r="L6" s="13">
        <f>225000+1129000+916000</f>
        <v>2270000</v>
      </c>
      <c r="M6" s="19">
        <f t="shared" si="2"/>
        <v>22700</v>
      </c>
      <c r="N6" s="10"/>
      <c r="O6" s="10">
        <f t="shared" ref="O6:O31" si="4">N6*1%</f>
        <v>0</v>
      </c>
      <c r="P6" s="10">
        <v>2053000</v>
      </c>
      <c r="Q6" s="28"/>
      <c r="R6" s="28"/>
      <c r="S6" s="28"/>
      <c r="T6" s="28">
        <f t="shared" ref="T6:T32" si="5">G6+H6+N6+O6+Q6+R6</f>
        <v>2292700</v>
      </c>
      <c r="U6" s="28"/>
      <c r="V6" s="28">
        <f t="shared" ref="V6:V32" si="6">T6-U6</f>
        <v>2292700</v>
      </c>
      <c r="W6" s="29">
        <v>0</v>
      </c>
    </row>
    <row r="7" customHeight="1" spans="1:23">
      <c r="A7" s="9">
        <v>3</v>
      </c>
      <c r="B7" s="9" t="s">
        <v>25</v>
      </c>
      <c r="C7" s="9">
        <v>105</v>
      </c>
      <c r="D7" s="10">
        <v>2270000</v>
      </c>
      <c r="E7" s="11">
        <v>0</v>
      </c>
      <c r="F7" s="12">
        <f t="shared" si="0"/>
        <v>239700</v>
      </c>
      <c r="G7" s="12">
        <f t="shared" si="1"/>
        <v>2270000</v>
      </c>
      <c r="H7" s="13">
        <f t="shared" si="3"/>
        <v>22700</v>
      </c>
      <c r="I7" s="18"/>
      <c r="J7" s="18"/>
      <c r="K7" s="18"/>
      <c r="L7" s="13">
        <f>225000+1129000+916000</f>
        <v>2270000</v>
      </c>
      <c r="M7" s="19">
        <f t="shared" si="2"/>
        <v>22700</v>
      </c>
      <c r="N7" s="10"/>
      <c r="O7" s="10">
        <f t="shared" si="4"/>
        <v>0</v>
      </c>
      <c r="P7" s="10">
        <v>2053000</v>
      </c>
      <c r="Q7" s="28"/>
      <c r="R7" s="28"/>
      <c r="S7" s="28"/>
      <c r="T7" s="28">
        <f t="shared" si="5"/>
        <v>2292700</v>
      </c>
      <c r="U7" s="28"/>
      <c r="V7" s="28">
        <f t="shared" si="6"/>
        <v>2292700</v>
      </c>
      <c r="W7" s="29">
        <v>0</v>
      </c>
    </row>
    <row r="8" customHeight="1" spans="1:23">
      <c r="A8" s="9">
        <v>4</v>
      </c>
      <c r="B8" s="9" t="s">
        <v>25</v>
      </c>
      <c r="C8" s="9">
        <v>106</v>
      </c>
      <c r="D8" s="10">
        <v>2270000</v>
      </c>
      <c r="E8" s="11">
        <v>0</v>
      </c>
      <c r="F8" s="12">
        <f t="shared" si="0"/>
        <v>239700</v>
      </c>
      <c r="G8" s="12">
        <f t="shared" si="1"/>
        <v>2270000</v>
      </c>
      <c r="H8" s="13">
        <f t="shared" si="3"/>
        <v>22700</v>
      </c>
      <c r="I8" s="18"/>
      <c r="J8" s="18"/>
      <c r="K8" s="18"/>
      <c r="L8" s="13">
        <f>1354000+916000</f>
        <v>2270000</v>
      </c>
      <c r="M8" s="19">
        <f t="shared" si="2"/>
        <v>22700</v>
      </c>
      <c r="N8" s="10"/>
      <c r="O8" s="10">
        <f t="shared" si="4"/>
        <v>0</v>
      </c>
      <c r="P8" s="10">
        <v>2053000</v>
      </c>
      <c r="Q8" s="28"/>
      <c r="R8" s="28"/>
      <c r="S8" s="28"/>
      <c r="T8" s="28">
        <f t="shared" si="5"/>
        <v>2292700</v>
      </c>
      <c r="U8" s="28"/>
      <c r="V8" s="28">
        <f t="shared" si="6"/>
        <v>2292700</v>
      </c>
      <c r="W8" s="29">
        <v>0</v>
      </c>
    </row>
    <row r="9" customHeight="1" spans="1:23">
      <c r="A9" s="9">
        <v>5</v>
      </c>
      <c r="B9" s="9" t="s">
        <v>25</v>
      </c>
      <c r="C9" s="9">
        <v>107</v>
      </c>
      <c r="D9" s="10">
        <v>2270000</v>
      </c>
      <c r="E9" s="11">
        <v>0</v>
      </c>
      <c r="F9" s="12">
        <f t="shared" si="0"/>
        <v>239700</v>
      </c>
      <c r="G9" s="12">
        <f t="shared" si="1"/>
        <v>2270000</v>
      </c>
      <c r="H9" s="13">
        <f t="shared" si="3"/>
        <v>22700</v>
      </c>
      <c r="I9" s="18"/>
      <c r="J9" s="18"/>
      <c r="K9" s="18"/>
      <c r="L9" s="13">
        <f>577000+1693000</f>
        <v>2270000</v>
      </c>
      <c r="M9" s="19">
        <f t="shared" si="2"/>
        <v>22700</v>
      </c>
      <c r="N9" s="10"/>
      <c r="O9" s="10">
        <f t="shared" si="4"/>
        <v>0</v>
      </c>
      <c r="P9" s="10">
        <v>2053000</v>
      </c>
      <c r="Q9" s="28"/>
      <c r="R9" s="28"/>
      <c r="S9" s="28"/>
      <c r="T9" s="28">
        <f t="shared" si="5"/>
        <v>2292700</v>
      </c>
      <c r="U9" s="28"/>
      <c r="V9" s="28">
        <f t="shared" si="6"/>
        <v>2292700</v>
      </c>
      <c r="W9" s="29">
        <v>0</v>
      </c>
    </row>
    <row r="10" customHeight="1" spans="1:23">
      <c r="A10" s="9">
        <v>6</v>
      </c>
      <c r="B10" s="9" t="s">
        <v>26</v>
      </c>
      <c r="C10" s="9">
        <v>108</v>
      </c>
      <c r="D10" s="10">
        <v>2674000</v>
      </c>
      <c r="E10" s="11">
        <v>0</v>
      </c>
      <c r="F10" s="11">
        <v>0</v>
      </c>
      <c r="G10" s="11"/>
      <c r="H10" s="13">
        <f t="shared" si="3"/>
        <v>0</v>
      </c>
      <c r="I10" s="18">
        <v>225000</v>
      </c>
      <c r="J10" s="18"/>
      <c r="K10" s="18"/>
      <c r="L10" s="10">
        <v>0</v>
      </c>
      <c r="M10" s="20"/>
      <c r="N10" s="10">
        <v>225000</v>
      </c>
      <c r="O10" s="10">
        <f t="shared" si="4"/>
        <v>2250</v>
      </c>
      <c r="P10" s="10"/>
      <c r="Q10" s="28"/>
      <c r="R10" s="28"/>
      <c r="S10" s="28"/>
      <c r="T10" s="28">
        <f t="shared" si="5"/>
        <v>227250</v>
      </c>
      <c r="U10" s="28"/>
      <c r="V10" s="28">
        <f t="shared" si="6"/>
        <v>227250</v>
      </c>
      <c r="W10" s="29">
        <v>0</v>
      </c>
    </row>
    <row r="11" customHeight="1" spans="1:23">
      <c r="A11" s="9">
        <v>7</v>
      </c>
      <c r="B11" s="9" t="s">
        <v>26</v>
      </c>
      <c r="C11" s="9">
        <v>109</v>
      </c>
      <c r="D11" s="10">
        <v>2674000</v>
      </c>
      <c r="E11" s="11">
        <v>0</v>
      </c>
      <c r="F11" s="11">
        <v>0</v>
      </c>
      <c r="G11" s="11"/>
      <c r="H11" s="13">
        <f t="shared" si="3"/>
        <v>0</v>
      </c>
      <c r="I11" s="18">
        <v>225000</v>
      </c>
      <c r="J11" s="18"/>
      <c r="K11" s="18"/>
      <c r="L11" s="10">
        <v>0</v>
      </c>
      <c r="M11" s="20"/>
      <c r="N11" s="10">
        <v>225000</v>
      </c>
      <c r="O11" s="10">
        <f t="shared" si="4"/>
        <v>2250</v>
      </c>
      <c r="P11" s="10"/>
      <c r="Q11" s="28"/>
      <c r="R11" s="28"/>
      <c r="S11" s="28"/>
      <c r="T11" s="28">
        <f t="shared" si="5"/>
        <v>227250</v>
      </c>
      <c r="U11" s="28"/>
      <c r="V11" s="28">
        <f t="shared" si="6"/>
        <v>227250</v>
      </c>
      <c r="W11" s="29">
        <v>0</v>
      </c>
    </row>
    <row r="12" customHeight="1" spans="1:23">
      <c r="A12" s="9">
        <v>8</v>
      </c>
      <c r="B12" s="9" t="s">
        <v>26</v>
      </c>
      <c r="C12" s="9">
        <v>110</v>
      </c>
      <c r="D12" s="10">
        <v>2674000</v>
      </c>
      <c r="E12" s="11">
        <v>0</v>
      </c>
      <c r="F12" s="11"/>
      <c r="G12" s="11"/>
      <c r="H12" s="13">
        <f t="shared" si="3"/>
        <v>0</v>
      </c>
      <c r="I12" s="18">
        <v>225000</v>
      </c>
      <c r="J12" s="18"/>
      <c r="K12" s="18"/>
      <c r="L12" s="10">
        <v>0</v>
      </c>
      <c r="M12" s="20"/>
      <c r="N12" s="10">
        <v>225000</v>
      </c>
      <c r="O12" s="10">
        <f t="shared" si="4"/>
        <v>2250</v>
      </c>
      <c r="P12" s="10"/>
      <c r="Q12" s="28"/>
      <c r="R12" s="28"/>
      <c r="S12" s="28"/>
      <c r="T12" s="28">
        <f t="shared" si="5"/>
        <v>227250</v>
      </c>
      <c r="U12" s="28"/>
      <c r="V12" s="28">
        <f t="shared" si="6"/>
        <v>227250</v>
      </c>
      <c r="W12" s="29">
        <v>0</v>
      </c>
    </row>
    <row r="13" customHeight="1" spans="1:23">
      <c r="A13" s="9">
        <v>9</v>
      </c>
      <c r="B13" s="9" t="s">
        <v>26</v>
      </c>
      <c r="C13" s="9">
        <v>111</v>
      </c>
      <c r="D13" s="10">
        <v>2674000</v>
      </c>
      <c r="E13" s="11">
        <v>0</v>
      </c>
      <c r="F13" s="11"/>
      <c r="G13" s="11"/>
      <c r="H13" s="13">
        <f t="shared" si="3"/>
        <v>0</v>
      </c>
      <c r="I13" s="18">
        <v>225000</v>
      </c>
      <c r="J13" s="18"/>
      <c r="K13" s="18"/>
      <c r="L13" s="10">
        <v>0</v>
      </c>
      <c r="M13" s="20"/>
      <c r="N13" s="10">
        <v>225000</v>
      </c>
      <c r="O13" s="10">
        <f t="shared" si="4"/>
        <v>2250</v>
      </c>
      <c r="P13" s="10"/>
      <c r="Q13" s="28"/>
      <c r="R13" s="28"/>
      <c r="S13" s="28"/>
      <c r="T13" s="28">
        <f t="shared" si="5"/>
        <v>227250</v>
      </c>
      <c r="U13" s="28"/>
      <c r="V13" s="28">
        <f t="shared" si="6"/>
        <v>227250</v>
      </c>
      <c r="W13" s="29">
        <v>0</v>
      </c>
    </row>
    <row r="14" customHeight="1" spans="1:23">
      <c r="A14" s="9">
        <v>10</v>
      </c>
      <c r="B14" s="9" t="s">
        <v>26</v>
      </c>
      <c r="C14" s="9">
        <v>112</v>
      </c>
      <c r="D14" s="10">
        <v>2674000</v>
      </c>
      <c r="E14" s="11">
        <v>0</v>
      </c>
      <c r="F14" s="11"/>
      <c r="G14" s="11"/>
      <c r="H14" s="10">
        <f t="shared" si="3"/>
        <v>0</v>
      </c>
      <c r="I14" s="11">
        <v>225000</v>
      </c>
      <c r="J14" s="11"/>
      <c r="K14" s="11"/>
      <c r="L14" s="10">
        <v>0</v>
      </c>
      <c r="M14" s="20"/>
      <c r="N14" s="10">
        <v>225000</v>
      </c>
      <c r="O14" s="10">
        <f t="shared" si="4"/>
        <v>2250</v>
      </c>
      <c r="P14" s="10"/>
      <c r="Q14" s="28"/>
      <c r="R14" s="28"/>
      <c r="S14" s="28"/>
      <c r="T14" s="28">
        <f t="shared" si="5"/>
        <v>227250</v>
      </c>
      <c r="U14" s="28"/>
      <c r="V14" s="28">
        <f t="shared" si="6"/>
        <v>227250</v>
      </c>
      <c r="W14" s="29">
        <v>0</v>
      </c>
    </row>
    <row r="15" customHeight="1" spans="1:23">
      <c r="A15" s="9">
        <v>11</v>
      </c>
      <c r="B15" s="9" t="s">
        <v>26</v>
      </c>
      <c r="C15" s="9">
        <v>113</v>
      </c>
      <c r="D15" s="10">
        <v>2674000</v>
      </c>
      <c r="E15" s="11">
        <v>0</v>
      </c>
      <c r="F15" s="11"/>
      <c r="G15" s="11"/>
      <c r="H15" s="13">
        <f t="shared" si="3"/>
        <v>0</v>
      </c>
      <c r="I15" s="18">
        <v>225000</v>
      </c>
      <c r="J15" s="18"/>
      <c r="K15" s="18"/>
      <c r="L15" s="10">
        <v>0</v>
      </c>
      <c r="M15" s="20"/>
      <c r="N15" s="10">
        <v>225000</v>
      </c>
      <c r="O15" s="10">
        <f t="shared" si="4"/>
        <v>2250</v>
      </c>
      <c r="P15" s="10"/>
      <c r="Q15" s="28"/>
      <c r="R15" s="28"/>
      <c r="S15" s="28"/>
      <c r="T15" s="28">
        <f t="shared" si="5"/>
        <v>227250</v>
      </c>
      <c r="U15" s="28"/>
      <c r="V15" s="28">
        <f t="shared" si="6"/>
        <v>227250</v>
      </c>
      <c r="W15" s="29">
        <v>0</v>
      </c>
    </row>
    <row r="16" customHeight="1" spans="1:23">
      <c r="A16" s="9">
        <v>12</v>
      </c>
      <c r="B16" s="9" t="s">
        <v>26</v>
      </c>
      <c r="C16" s="9">
        <v>114</v>
      </c>
      <c r="D16" s="10">
        <v>2674000</v>
      </c>
      <c r="E16" s="11">
        <v>0</v>
      </c>
      <c r="F16" s="11"/>
      <c r="G16" s="11"/>
      <c r="H16" s="13">
        <f t="shared" si="3"/>
        <v>0</v>
      </c>
      <c r="I16" s="18">
        <v>225000</v>
      </c>
      <c r="J16" s="18"/>
      <c r="K16" s="18"/>
      <c r="L16" s="10">
        <v>0</v>
      </c>
      <c r="M16" s="20"/>
      <c r="N16" s="10">
        <v>225000</v>
      </c>
      <c r="O16" s="10">
        <f t="shared" si="4"/>
        <v>2250</v>
      </c>
      <c r="P16" s="10"/>
      <c r="Q16" s="28"/>
      <c r="R16" s="28"/>
      <c r="S16" s="28"/>
      <c r="T16" s="28">
        <f t="shared" si="5"/>
        <v>227250</v>
      </c>
      <c r="U16" s="28"/>
      <c r="V16" s="28">
        <f t="shared" si="6"/>
        <v>227250</v>
      </c>
      <c r="W16" s="29">
        <v>0</v>
      </c>
    </row>
    <row r="17" customHeight="1" spans="1:23">
      <c r="A17" s="9">
        <v>13</v>
      </c>
      <c r="B17" s="9" t="s">
        <v>26</v>
      </c>
      <c r="C17" s="9">
        <v>115</v>
      </c>
      <c r="D17" s="10">
        <v>2674000</v>
      </c>
      <c r="E17" s="11">
        <v>0</v>
      </c>
      <c r="F17" s="11"/>
      <c r="G17" s="11"/>
      <c r="H17" s="13">
        <f t="shared" si="3"/>
        <v>0</v>
      </c>
      <c r="I17" s="18">
        <v>225000</v>
      </c>
      <c r="J17" s="18"/>
      <c r="K17" s="18"/>
      <c r="L17" s="10"/>
      <c r="M17" s="20"/>
      <c r="N17" s="10">
        <v>225000</v>
      </c>
      <c r="O17" s="10">
        <f t="shared" si="4"/>
        <v>2250</v>
      </c>
      <c r="P17" s="10"/>
      <c r="Q17" s="28"/>
      <c r="R17" s="28"/>
      <c r="S17" s="28"/>
      <c r="T17" s="28">
        <f t="shared" si="5"/>
        <v>227250</v>
      </c>
      <c r="U17" s="28"/>
      <c r="V17" s="28">
        <f t="shared" si="6"/>
        <v>227250</v>
      </c>
      <c r="W17" s="29">
        <v>0</v>
      </c>
    </row>
    <row r="18" customHeight="1" spans="1:24">
      <c r="A18" s="9">
        <v>14</v>
      </c>
      <c r="B18" s="9" t="s">
        <v>27</v>
      </c>
      <c r="C18" s="9">
        <v>116</v>
      </c>
      <c r="D18" s="10">
        <v>2639000</v>
      </c>
      <c r="E18" s="11">
        <v>0</v>
      </c>
      <c r="F18" s="11"/>
      <c r="G18" s="11"/>
      <c r="H18" s="13">
        <f t="shared" si="3"/>
        <v>0</v>
      </c>
      <c r="I18" s="21">
        <f>25000+390000+200000+700000</f>
        <v>1315000</v>
      </c>
      <c r="J18" s="21"/>
      <c r="K18" s="21"/>
      <c r="L18" s="22"/>
      <c r="M18" s="23"/>
      <c r="N18" s="22">
        <f>615000+270000</f>
        <v>885000</v>
      </c>
      <c r="O18" s="22">
        <f t="shared" si="4"/>
        <v>8850</v>
      </c>
      <c r="P18" s="24">
        <f>238000+403000+200000</f>
        <v>841000</v>
      </c>
      <c r="Q18" s="30">
        <f>668000+403000+483000</f>
        <v>1554000</v>
      </c>
      <c r="R18" s="25">
        <f t="shared" ref="R18:R34" si="7">Q18*1%</f>
        <v>15540</v>
      </c>
      <c r="S18" s="28"/>
      <c r="T18" s="28">
        <f t="shared" si="5"/>
        <v>2463390</v>
      </c>
      <c r="U18" s="28">
        <f t="shared" ref="U18:U24" si="8">E18+F18+I18+P18</f>
        <v>2156000</v>
      </c>
      <c r="V18" s="28">
        <f t="shared" si="6"/>
        <v>307390</v>
      </c>
      <c r="W18" s="29">
        <v>2156000</v>
      </c>
      <c r="X18" t="s">
        <v>28</v>
      </c>
    </row>
    <row r="19" customHeight="1" spans="1:24">
      <c r="A19" s="9">
        <v>15</v>
      </c>
      <c r="B19" s="9" t="s">
        <v>29</v>
      </c>
      <c r="C19" s="9">
        <v>117</v>
      </c>
      <c r="D19" s="10">
        <v>2639000</v>
      </c>
      <c r="E19" s="11">
        <v>0</v>
      </c>
      <c r="F19" s="12">
        <f>25000+200000-200000+50000+150000</f>
        <v>225000</v>
      </c>
      <c r="G19" s="12"/>
      <c r="H19" s="13">
        <f t="shared" si="3"/>
        <v>0</v>
      </c>
      <c r="I19" s="21">
        <f>571231+540000+660000</f>
        <v>1771231</v>
      </c>
      <c r="J19" s="18"/>
      <c r="K19" s="18"/>
      <c r="L19" s="13">
        <f>225000+1229000</f>
        <v>1454000</v>
      </c>
      <c r="M19" s="19">
        <f t="shared" ref="M19:M29" si="9">L19*1%</f>
        <v>14540</v>
      </c>
      <c r="N19" s="22">
        <v>540000</v>
      </c>
      <c r="O19" s="22">
        <f t="shared" si="4"/>
        <v>5400</v>
      </c>
      <c r="P19" s="24">
        <v>383711</v>
      </c>
      <c r="Q19" s="30">
        <v>445000</v>
      </c>
      <c r="R19" s="25">
        <f t="shared" si="7"/>
        <v>4450</v>
      </c>
      <c r="S19" s="28"/>
      <c r="T19" s="28">
        <f t="shared" si="5"/>
        <v>994850</v>
      </c>
      <c r="U19" s="28">
        <f t="shared" si="8"/>
        <v>2379942</v>
      </c>
      <c r="V19" s="28">
        <f t="shared" si="6"/>
        <v>-1385092</v>
      </c>
      <c r="W19" s="29">
        <v>2379942</v>
      </c>
      <c r="X19" t="s">
        <v>28</v>
      </c>
    </row>
    <row r="20" customHeight="1" spans="1:24">
      <c r="A20" s="9">
        <v>16</v>
      </c>
      <c r="B20" s="9" t="s">
        <v>29</v>
      </c>
      <c r="C20" s="9">
        <v>118</v>
      </c>
      <c r="D20" s="10">
        <v>2639000</v>
      </c>
      <c r="E20" s="11">
        <v>0</v>
      </c>
      <c r="F20" s="12">
        <f>25000+200000-200000+200000</f>
        <v>225000</v>
      </c>
      <c r="G20" s="12"/>
      <c r="H20" s="13">
        <f t="shared" si="3"/>
        <v>0</v>
      </c>
      <c r="I20" s="21">
        <f>589224+517111+640000</f>
        <v>1746335</v>
      </c>
      <c r="J20" s="18"/>
      <c r="K20" s="18"/>
      <c r="L20" s="13">
        <f>225000+1229000</f>
        <v>1454000</v>
      </c>
      <c r="M20" s="19">
        <f t="shared" si="9"/>
        <v>14540</v>
      </c>
      <c r="N20" s="22">
        <v>540000</v>
      </c>
      <c r="O20" s="22">
        <f t="shared" si="4"/>
        <v>5400</v>
      </c>
      <c r="P20" s="24">
        <v>69282</v>
      </c>
      <c r="Q20" s="30">
        <v>445000</v>
      </c>
      <c r="R20" s="25">
        <f t="shared" si="7"/>
        <v>4450</v>
      </c>
      <c r="S20" s="28"/>
      <c r="T20" s="28">
        <f t="shared" si="5"/>
        <v>994850</v>
      </c>
      <c r="U20" s="28">
        <f t="shared" si="8"/>
        <v>2040617</v>
      </c>
      <c r="V20" s="28">
        <f t="shared" si="6"/>
        <v>-1045767</v>
      </c>
      <c r="W20" s="29">
        <v>2040617</v>
      </c>
      <c r="X20" t="s">
        <v>28</v>
      </c>
    </row>
    <row r="21" customHeight="1" spans="1:24">
      <c r="A21" s="9">
        <v>17</v>
      </c>
      <c r="B21" s="9" t="s">
        <v>30</v>
      </c>
      <c r="C21" s="9">
        <v>119</v>
      </c>
      <c r="D21" s="10">
        <v>2679000</v>
      </c>
      <c r="E21" s="11">
        <f>0</f>
        <v>0</v>
      </c>
      <c r="F21" s="12">
        <f>25000+200000+154000+692600+590000</f>
        <v>1661600</v>
      </c>
      <c r="G21" s="12"/>
      <c r="H21" s="13">
        <f t="shared" si="3"/>
        <v>0</v>
      </c>
      <c r="I21" s="21">
        <v>400000</v>
      </c>
      <c r="J21" s="18"/>
      <c r="K21" s="18"/>
      <c r="L21" s="13">
        <f>225000+1261000+550000</f>
        <v>2036000</v>
      </c>
      <c r="M21" s="19">
        <f t="shared" si="9"/>
        <v>20360</v>
      </c>
      <c r="N21" s="10"/>
      <c r="O21" s="10">
        <f t="shared" si="4"/>
        <v>0</v>
      </c>
      <c r="P21" s="24">
        <f>420000+50000+100000+50000</f>
        <v>620000</v>
      </c>
      <c r="Q21" s="30">
        <f>445000+200000</f>
        <v>645000</v>
      </c>
      <c r="R21" s="25">
        <f t="shared" si="7"/>
        <v>6450</v>
      </c>
      <c r="S21" s="28"/>
      <c r="T21" s="28">
        <f t="shared" si="5"/>
        <v>651450</v>
      </c>
      <c r="U21" s="28">
        <f t="shared" si="8"/>
        <v>2681600</v>
      </c>
      <c r="V21" s="28">
        <f t="shared" si="6"/>
        <v>-2030150</v>
      </c>
      <c r="W21" s="29">
        <v>2681600</v>
      </c>
      <c r="X21" t="s">
        <v>28</v>
      </c>
    </row>
    <row r="22" customHeight="1" spans="1:24">
      <c r="A22" s="9">
        <v>18</v>
      </c>
      <c r="B22" s="9" t="s">
        <v>31</v>
      </c>
      <c r="C22" s="9">
        <v>120</v>
      </c>
      <c r="D22" s="10">
        <v>2600000</v>
      </c>
      <c r="E22" s="11">
        <v>0</v>
      </c>
      <c r="F22" s="12">
        <f>815116+639000+440000+106000</f>
        <v>2000116</v>
      </c>
      <c r="G22" s="12"/>
      <c r="H22" s="13">
        <f t="shared" si="3"/>
        <v>0</v>
      </c>
      <c r="I22" s="21">
        <f>100000+299884+100000</f>
        <v>499884</v>
      </c>
      <c r="J22" s="21"/>
      <c r="K22" s="21"/>
      <c r="L22" s="22">
        <f>1769000+225000</f>
        <v>1994000</v>
      </c>
      <c r="M22" s="23">
        <f t="shared" si="9"/>
        <v>19940</v>
      </c>
      <c r="N22" s="22">
        <v>406000</v>
      </c>
      <c r="O22" s="22">
        <f t="shared" si="4"/>
        <v>4060</v>
      </c>
      <c r="P22" s="25">
        <f>100000</f>
        <v>100000</v>
      </c>
      <c r="Q22" s="28">
        <v>0</v>
      </c>
      <c r="R22" s="10">
        <f t="shared" si="7"/>
        <v>0</v>
      </c>
      <c r="S22" s="28">
        <v>5428</v>
      </c>
      <c r="T22" s="28">
        <f t="shared" si="5"/>
        <v>410060</v>
      </c>
      <c r="U22" s="28">
        <f t="shared" si="8"/>
        <v>2600000</v>
      </c>
      <c r="V22" s="28">
        <f t="shared" si="6"/>
        <v>-2189940</v>
      </c>
      <c r="W22" s="29">
        <v>2631818</v>
      </c>
      <c r="X22" s="31">
        <f>U22-W22</f>
        <v>-31818</v>
      </c>
    </row>
    <row r="23" customHeight="1" spans="1:24">
      <c r="A23" s="9">
        <v>19</v>
      </c>
      <c r="B23" s="9" t="s">
        <v>32</v>
      </c>
      <c r="C23" s="9">
        <v>121</v>
      </c>
      <c r="D23" s="10">
        <v>2750000</v>
      </c>
      <c r="E23" s="11">
        <v>0</v>
      </c>
      <c r="F23" s="12">
        <f>25000+200000+125000+1072500</f>
        <v>1422500</v>
      </c>
      <c r="G23" s="12"/>
      <c r="H23" s="13">
        <f t="shared" si="3"/>
        <v>0</v>
      </c>
      <c r="I23" s="21">
        <f>672500+173800</f>
        <v>846300</v>
      </c>
      <c r="J23" s="18"/>
      <c r="K23" s="18"/>
      <c r="L23" s="13">
        <f>225000+1910000</f>
        <v>2135000</v>
      </c>
      <c r="M23" s="19">
        <f t="shared" si="9"/>
        <v>21350</v>
      </c>
      <c r="N23" s="10"/>
      <c r="O23" s="10">
        <f t="shared" si="4"/>
        <v>0</v>
      </c>
      <c r="P23" s="25">
        <f>26500+5818+249200</f>
        <v>281518</v>
      </c>
      <c r="Q23" s="32">
        <v>415000</v>
      </c>
      <c r="R23" s="25">
        <f t="shared" si="7"/>
        <v>4150</v>
      </c>
      <c r="S23" s="28">
        <v>5428</v>
      </c>
      <c r="T23" s="28">
        <f t="shared" si="5"/>
        <v>419150</v>
      </c>
      <c r="U23" s="28">
        <f t="shared" si="8"/>
        <v>2550318</v>
      </c>
      <c r="V23" s="28">
        <f t="shared" si="6"/>
        <v>-2131168</v>
      </c>
      <c r="W23" s="29">
        <v>2544500</v>
      </c>
      <c r="X23" s="31">
        <f>U23-W23</f>
        <v>5818</v>
      </c>
    </row>
    <row r="24" customHeight="1" spans="1:24">
      <c r="A24" s="9">
        <v>20</v>
      </c>
      <c r="B24" s="9" t="s">
        <v>33</v>
      </c>
      <c r="C24" s="9">
        <v>201</v>
      </c>
      <c r="D24" s="10">
        <v>2540000</v>
      </c>
      <c r="E24" s="14">
        <v>606000</v>
      </c>
      <c r="F24" s="12">
        <f>210000+875000</f>
        <v>1085000</v>
      </c>
      <c r="G24" s="12"/>
      <c r="H24" s="13">
        <f t="shared" si="3"/>
        <v>0</v>
      </c>
      <c r="I24" s="21">
        <f>350000</f>
        <v>350000</v>
      </c>
      <c r="J24" s="14">
        <f>225000+381000</f>
        <v>606000</v>
      </c>
      <c r="K24" s="26">
        <f t="shared" ref="K24:K27" si="10">J24*1%</f>
        <v>6060</v>
      </c>
      <c r="L24" s="13">
        <f>877000+520000</f>
        <v>1397000</v>
      </c>
      <c r="M24" s="13">
        <f t="shared" si="9"/>
        <v>13970</v>
      </c>
      <c r="N24" s="22">
        <f>520000</f>
        <v>520000</v>
      </c>
      <c r="O24" s="22">
        <f t="shared" si="4"/>
        <v>5200</v>
      </c>
      <c r="P24" s="25">
        <f>337000+162000+31218</f>
        <v>530218</v>
      </c>
      <c r="Q24" s="28">
        <v>0</v>
      </c>
      <c r="R24" s="10">
        <f t="shared" si="7"/>
        <v>0</v>
      </c>
      <c r="S24" s="28"/>
      <c r="T24" s="28">
        <f t="shared" si="5"/>
        <v>525200</v>
      </c>
      <c r="U24" s="28">
        <f t="shared" si="8"/>
        <v>2571218</v>
      </c>
      <c r="V24" s="28">
        <f t="shared" si="6"/>
        <v>-2046018</v>
      </c>
      <c r="W24" s="29">
        <v>2571218</v>
      </c>
      <c r="X24" t="s">
        <v>28</v>
      </c>
    </row>
    <row r="25" customHeight="1" spans="1:24">
      <c r="A25" s="9">
        <v>21</v>
      </c>
      <c r="B25" s="9" t="s">
        <v>34</v>
      </c>
      <c r="C25" s="9">
        <v>202</v>
      </c>
      <c r="D25" s="10">
        <v>2579000</v>
      </c>
      <c r="E25" s="14">
        <f>25000+200000</f>
        <v>225000</v>
      </c>
      <c r="F25" s="12">
        <f>51000+540000+667000</f>
        <v>1258000</v>
      </c>
      <c r="G25" s="12"/>
      <c r="H25" s="13">
        <f t="shared" si="3"/>
        <v>0</v>
      </c>
      <c r="I25" s="21">
        <f>550000+172700</f>
        <v>722700</v>
      </c>
      <c r="J25" s="21">
        <v>225000</v>
      </c>
      <c r="K25" s="22">
        <f t="shared" si="10"/>
        <v>2250</v>
      </c>
      <c r="L25" s="22">
        <v>1258000</v>
      </c>
      <c r="M25" s="22">
        <f t="shared" si="9"/>
        <v>12580</v>
      </c>
      <c r="N25" s="22">
        <f>540000</f>
        <v>540000</v>
      </c>
      <c r="O25" s="22">
        <f t="shared" si="4"/>
        <v>5400</v>
      </c>
      <c r="P25" s="25">
        <f>143080</f>
        <v>143080</v>
      </c>
      <c r="Q25" s="32">
        <f>356000</f>
        <v>356000</v>
      </c>
      <c r="R25" s="25">
        <f t="shared" si="7"/>
        <v>3560</v>
      </c>
      <c r="S25" s="28"/>
      <c r="T25" s="28">
        <f t="shared" si="5"/>
        <v>904960</v>
      </c>
      <c r="U25" s="28">
        <f t="shared" ref="U25:U36" si="11">E25+F25+I25+P25</f>
        <v>2348780</v>
      </c>
      <c r="V25" s="28">
        <f t="shared" si="6"/>
        <v>-1443820</v>
      </c>
      <c r="W25" s="29">
        <v>2348780</v>
      </c>
      <c r="X25" t="s">
        <v>28</v>
      </c>
    </row>
    <row r="26" customHeight="1" spans="1:24">
      <c r="A26" s="9">
        <v>22</v>
      </c>
      <c r="B26" s="9" t="s">
        <v>35</v>
      </c>
      <c r="C26" s="9">
        <v>203</v>
      </c>
      <c r="D26" s="10">
        <v>2679000</v>
      </c>
      <c r="E26" s="11"/>
      <c r="F26" s="12">
        <f>25000+200000+390000+220000+649000</f>
        <v>1484000</v>
      </c>
      <c r="G26" s="12"/>
      <c r="H26" s="13">
        <f t="shared" si="3"/>
        <v>0</v>
      </c>
      <c r="I26" s="21">
        <v>550000</v>
      </c>
      <c r="J26" s="18"/>
      <c r="K26" s="18"/>
      <c r="L26" s="13">
        <v>1484000</v>
      </c>
      <c r="M26" s="13">
        <f t="shared" si="9"/>
        <v>14840</v>
      </c>
      <c r="N26" s="22">
        <f>550000</f>
        <v>550000</v>
      </c>
      <c r="O26" s="22">
        <f t="shared" si="4"/>
        <v>5500</v>
      </c>
      <c r="P26" s="25">
        <f>445000+232608</f>
        <v>677608</v>
      </c>
      <c r="Q26" s="32">
        <f>445000+200000</f>
        <v>645000</v>
      </c>
      <c r="R26" s="25">
        <f t="shared" si="7"/>
        <v>6450</v>
      </c>
      <c r="S26" s="32">
        <v>5428</v>
      </c>
      <c r="T26" s="28">
        <f t="shared" si="5"/>
        <v>1206950</v>
      </c>
      <c r="U26" s="28">
        <f t="shared" si="11"/>
        <v>2711608</v>
      </c>
      <c r="V26" s="28">
        <f t="shared" si="6"/>
        <v>-1504658</v>
      </c>
      <c r="W26" s="29">
        <v>2711608</v>
      </c>
      <c r="X26" t="s">
        <v>28</v>
      </c>
    </row>
    <row r="27" customHeight="1" spans="1:24">
      <c r="A27" s="9">
        <v>23</v>
      </c>
      <c r="B27" s="9" t="s">
        <v>36</v>
      </c>
      <c r="C27" s="9">
        <v>204</v>
      </c>
      <c r="D27" s="10">
        <v>2550000</v>
      </c>
      <c r="E27" s="14">
        <f>605000</f>
        <v>605000</v>
      </c>
      <c r="F27" s="12">
        <v>210000</v>
      </c>
      <c r="G27" s="12"/>
      <c r="H27" s="13">
        <f t="shared" si="3"/>
        <v>0</v>
      </c>
      <c r="I27" s="21">
        <f>300000+240000+339000+300000</f>
        <v>1179000</v>
      </c>
      <c r="J27" s="21">
        <f>605000</f>
        <v>605000</v>
      </c>
      <c r="K27" s="22">
        <f t="shared" si="10"/>
        <v>6050</v>
      </c>
      <c r="L27" s="22">
        <f>220000</f>
        <v>220000</v>
      </c>
      <c r="M27" s="22">
        <f t="shared" si="9"/>
        <v>2200</v>
      </c>
      <c r="N27" s="22">
        <f>639000+530000</f>
        <v>1169000</v>
      </c>
      <c r="O27" s="22">
        <f t="shared" si="4"/>
        <v>11690</v>
      </c>
      <c r="P27" s="25">
        <f>356000+231318</f>
        <v>587318</v>
      </c>
      <c r="Q27" s="32">
        <v>356000</v>
      </c>
      <c r="R27" s="25">
        <f t="shared" si="7"/>
        <v>3560</v>
      </c>
      <c r="S27" s="28"/>
      <c r="T27" s="28">
        <f t="shared" si="5"/>
        <v>1540250</v>
      </c>
      <c r="U27" s="28">
        <f t="shared" si="11"/>
        <v>2581318</v>
      </c>
      <c r="V27" s="28">
        <f t="shared" si="6"/>
        <v>-1041068</v>
      </c>
      <c r="W27" s="29">
        <v>2581318</v>
      </c>
      <c r="X27" t="s">
        <v>28</v>
      </c>
    </row>
    <row r="28" customHeight="1" spans="1:26">
      <c r="A28" s="9">
        <v>24</v>
      </c>
      <c r="B28" s="9" t="s">
        <v>37</v>
      </c>
      <c r="C28" s="9">
        <v>205</v>
      </c>
      <c r="D28" s="10">
        <v>2650000</v>
      </c>
      <c r="E28" s="11">
        <v>0</v>
      </c>
      <c r="F28" s="11"/>
      <c r="G28" s="11"/>
      <c r="H28" s="13">
        <f t="shared" si="3"/>
        <v>0</v>
      </c>
      <c r="I28" s="21">
        <f>500000+25000+100000+1095000+100000+100000+75000</f>
        <v>1995000</v>
      </c>
      <c r="J28" s="21"/>
      <c r="K28" s="21"/>
      <c r="L28" s="22"/>
      <c r="M28" s="22">
        <f t="shared" si="9"/>
        <v>0</v>
      </c>
      <c r="N28" s="22">
        <f>225000+1270000+500000</f>
        <v>1995000</v>
      </c>
      <c r="O28" s="22">
        <f t="shared" si="4"/>
        <v>19950</v>
      </c>
      <c r="P28" s="10">
        <f>250000+205000</f>
        <v>455000</v>
      </c>
      <c r="Q28" s="28">
        <v>445000</v>
      </c>
      <c r="R28" s="10">
        <f t="shared" si="7"/>
        <v>4450</v>
      </c>
      <c r="S28" s="28"/>
      <c r="T28" s="28">
        <f t="shared" si="5"/>
        <v>2464400</v>
      </c>
      <c r="U28" s="28">
        <f t="shared" si="11"/>
        <v>2450000</v>
      </c>
      <c r="V28" s="28">
        <f t="shared" si="6"/>
        <v>14400</v>
      </c>
      <c r="W28" s="29">
        <v>2450000</v>
      </c>
      <c r="X28" t="s">
        <v>28</v>
      </c>
      <c r="Y28" s="37"/>
      <c r="Z28" s="37"/>
    </row>
    <row r="29" customHeight="1" spans="1:24">
      <c r="A29" s="9">
        <v>25</v>
      </c>
      <c r="B29" s="9" t="s">
        <v>38</v>
      </c>
      <c r="C29" s="9">
        <v>206</v>
      </c>
      <c r="D29" s="10">
        <v>2139000</v>
      </c>
      <c r="E29" s="11">
        <v>0</v>
      </c>
      <c r="F29" s="12">
        <f>25000+1000+199000+200000+80000+110000+100000+100000+100000+100000</f>
        <v>1015000</v>
      </c>
      <c r="G29" s="12"/>
      <c r="H29" s="13">
        <f t="shared" si="3"/>
        <v>0</v>
      </c>
      <c r="I29" s="21">
        <f>139000+100000+100000+140000+100000</f>
        <v>579000</v>
      </c>
      <c r="J29" s="18"/>
      <c r="K29" s="18"/>
      <c r="L29" s="13">
        <f>225000+490000+439000</f>
        <v>1154000</v>
      </c>
      <c r="M29" s="13">
        <f t="shared" si="9"/>
        <v>11540</v>
      </c>
      <c r="N29" s="22">
        <v>440000</v>
      </c>
      <c r="O29" s="22">
        <f t="shared" si="4"/>
        <v>4400</v>
      </c>
      <c r="P29" s="10">
        <f>200000+200000</f>
        <v>400000</v>
      </c>
      <c r="Q29" s="28">
        <v>345000</v>
      </c>
      <c r="R29" s="10">
        <f t="shared" si="7"/>
        <v>3450</v>
      </c>
      <c r="S29" s="28"/>
      <c r="T29" s="28">
        <f t="shared" si="5"/>
        <v>792850</v>
      </c>
      <c r="U29" s="28">
        <f t="shared" si="11"/>
        <v>1994000</v>
      </c>
      <c r="V29" s="28">
        <f t="shared" si="6"/>
        <v>-1201150</v>
      </c>
      <c r="W29" s="29">
        <v>1994000</v>
      </c>
      <c r="X29" t="s">
        <v>28</v>
      </c>
    </row>
    <row r="30" customHeight="1" spans="1:24">
      <c r="A30" s="9">
        <v>26</v>
      </c>
      <c r="B30" s="9" t="s">
        <v>39</v>
      </c>
      <c r="C30" s="9">
        <v>207</v>
      </c>
      <c r="D30" s="10">
        <v>3150000</v>
      </c>
      <c r="E30" s="11">
        <v>0</v>
      </c>
      <c r="F30" s="11"/>
      <c r="G30" s="11"/>
      <c r="H30" s="13">
        <f t="shared" si="3"/>
        <v>0</v>
      </c>
      <c r="I30" s="21">
        <v>225000</v>
      </c>
      <c r="J30" s="18"/>
      <c r="K30" s="18"/>
      <c r="L30" s="10">
        <v>0</v>
      </c>
      <c r="M30" s="10">
        <v>0</v>
      </c>
      <c r="N30" s="22">
        <v>225000</v>
      </c>
      <c r="O30" s="22">
        <f t="shared" si="4"/>
        <v>2250</v>
      </c>
      <c r="P30" s="10">
        <v>373000</v>
      </c>
      <c r="Q30" s="28">
        <v>1372000</v>
      </c>
      <c r="R30" s="10">
        <f t="shared" si="7"/>
        <v>13720</v>
      </c>
      <c r="S30" s="28"/>
      <c r="T30" s="28">
        <f t="shared" si="5"/>
        <v>1612970</v>
      </c>
      <c r="U30" s="28">
        <f t="shared" si="11"/>
        <v>598000</v>
      </c>
      <c r="V30" s="28">
        <f t="shared" si="6"/>
        <v>1014970</v>
      </c>
      <c r="W30" s="29">
        <v>598000</v>
      </c>
      <c r="X30" t="s">
        <v>28</v>
      </c>
    </row>
    <row r="31" customHeight="1" spans="1:24">
      <c r="A31" s="9">
        <v>27</v>
      </c>
      <c r="B31" s="9" t="s">
        <v>40</v>
      </c>
      <c r="C31" s="9">
        <v>208</v>
      </c>
      <c r="D31" s="10">
        <v>2959000</v>
      </c>
      <c r="E31" s="11">
        <v>0</v>
      </c>
      <c r="F31" s="11"/>
      <c r="G31" s="11"/>
      <c r="H31" s="13">
        <f t="shared" si="3"/>
        <v>0</v>
      </c>
      <c r="I31" s="21">
        <f>25000+270000+668000+590000+200000</f>
        <v>1753000</v>
      </c>
      <c r="J31" s="21"/>
      <c r="K31" s="21"/>
      <c r="L31" s="22"/>
      <c r="M31" s="22"/>
      <c r="N31" s="22">
        <f>615000+270000+668000</f>
        <v>1553000</v>
      </c>
      <c r="O31" s="22">
        <f t="shared" si="4"/>
        <v>15530</v>
      </c>
      <c r="P31" s="25">
        <f>532000</f>
        <v>532000</v>
      </c>
      <c r="Q31" s="32">
        <f>732000</f>
        <v>732000</v>
      </c>
      <c r="R31" s="25">
        <f t="shared" si="7"/>
        <v>7320</v>
      </c>
      <c r="S31" s="28"/>
      <c r="T31" s="28">
        <f t="shared" si="5"/>
        <v>2307850</v>
      </c>
      <c r="U31" s="28">
        <f t="shared" si="11"/>
        <v>2285000</v>
      </c>
      <c r="V31" s="28">
        <f t="shared" si="6"/>
        <v>22850</v>
      </c>
      <c r="W31" s="29">
        <v>2285000</v>
      </c>
      <c r="X31" t="s">
        <v>28</v>
      </c>
    </row>
    <row r="32" customHeight="1" spans="1:24">
      <c r="A32" s="9">
        <v>28</v>
      </c>
      <c r="B32" s="9" t="s">
        <v>41</v>
      </c>
      <c r="C32" s="9">
        <v>209</v>
      </c>
      <c r="D32" s="10"/>
      <c r="E32" s="11"/>
      <c r="F32" s="11"/>
      <c r="G32" s="11"/>
      <c r="H32" s="13">
        <f t="shared" si="3"/>
        <v>0</v>
      </c>
      <c r="I32" s="21">
        <v>0</v>
      </c>
      <c r="J32" s="21"/>
      <c r="K32" s="21"/>
      <c r="L32" s="22"/>
      <c r="M32" s="22"/>
      <c r="N32" s="22">
        <v>0</v>
      </c>
      <c r="O32" s="22">
        <v>0</v>
      </c>
      <c r="P32" s="25">
        <f>25000+200000+500000+500000</f>
        <v>1225000</v>
      </c>
      <c r="Q32" s="32">
        <v>2426000</v>
      </c>
      <c r="R32" s="25">
        <f t="shared" si="7"/>
        <v>24260</v>
      </c>
      <c r="S32" s="28"/>
      <c r="T32" s="28">
        <f t="shared" si="5"/>
        <v>2450260</v>
      </c>
      <c r="U32" s="28">
        <f t="shared" si="11"/>
        <v>1225000</v>
      </c>
      <c r="V32" s="28">
        <f t="shared" si="6"/>
        <v>1225260</v>
      </c>
      <c r="W32" s="29">
        <v>1225000</v>
      </c>
      <c r="X32" t="s">
        <v>28</v>
      </c>
    </row>
    <row r="33" customHeight="1" spans="1:24">
      <c r="A33" s="9">
        <v>29</v>
      </c>
      <c r="B33" s="9" t="s">
        <v>42</v>
      </c>
      <c r="C33" s="9">
        <v>211</v>
      </c>
      <c r="D33" s="10">
        <v>3100000</v>
      </c>
      <c r="E33" s="11">
        <v>0</v>
      </c>
      <c r="F33" s="11"/>
      <c r="G33" s="11"/>
      <c r="H33" s="13">
        <f t="shared" si="3"/>
        <v>0</v>
      </c>
      <c r="I33" s="21">
        <f>225000+185000+1280000+390000+668000</f>
        <v>2748000</v>
      </c>
      <c r="J33" s="21"/>
      <c r="K33" s="21"/>
      <c r="L33" s="22"/>
      <c r="M33" s="22"/>
      <c r="N33" s="22">
        <f>615000+270000+668000+773000</f>
        <v>2326000</v>
      </c>
      <c r="O33" s="22">
        <f>N33*1%</f>
        <v>23260</v>
      </c>
      <c r="P33" s="10">
        <v>0</v>
      </c>
      <c r="Q33" s="28">
        <v>574000</v>
      </c>
      <c r="R33" s="10">
        <f t="shared" si="7"/>
        <v>5740</v>
      </c>
      <c r="S33" s="28"/>
      <c r="T33" s="28">
        <f>SUM(J33:P33)</f>
        <v>2349260</v>
      </c>
      <c r="U33" s="28">
        <f t="shared" si="11"/>
        <v>2748000</v>
      </c>
      <c r="V33" s="28">
        <f>T33-E33-F33-I33</f>
        <v>-398740</v>
      </c>
      <c r="W33" s="29">
        <v>2748000</v>
      </c>
      <c r="X33" t="s">
        <v>28</v>
      </c>
    </row>
    <row r="34" s="1" customFormat="1" customHeight="1" spans="1:24">
      <c r="A34" s="9">
        <v>30</v>
      </c>
      <c r="B34" s="9" t="s">
        <v>43</v>
      </c>
      <c r="C34" s="9">
        <v>212</v>
      </c>
      <c r="D34" s="10">
        <v>2579000</v>
      </c>
      <c r="E34" s="14">
        <f>25000+200000+200000+200000+200000-200000+200000</f>
        <v>825000</v>
      </c>
      <c r="F34" s="11">
        <v>0</v>
      </c>
      <c r="G34" s="11"/>
      <c r="H34" s="13">
        <f t="shared" si="3"/>
        <v>0</v>
      </c>
      <c r="I34" s="21">
        <v>0</v>
      </c>
      <c r="J34" s="14">
        <v>606000</v>
      </c>
      <c r="K34" s="26">
        <f>J34*1%</f>
        <v>6060</v>
      </c>
      <c r="L34" s="13">
        <f>566000</f>
        <v>566000</v>
      </c>
      <c r="M34" s="13">
        <f>L34*1%</f>
        <v>5660</v>
      </c>
      <c r="N34" s="22">
        <v>311000</v>
      </c>
      <c r="O34" s="22">
        <f>N34*1%</f>
        <v>3110</v>
      </c>
      <c r="P34" s="25">
        <f>1000000+5+400000+100000+100000</f>
        <v>1600005</v>
      </c>
      <c r="Q34" s="32">
        <f>540000+356000+200000</f>
        <v>1096000</v>
      </c>
      <c r="R34" s="25">
        <f t="shared" si="7"/>
        <v>10960</v>
      </c>
      <c r="S34" s="32">
        <v>5428</v>
      </c>
      <c r="T34" s="28">
        <f>SUM(J34:P34)</f>
        <v>3097835</v>
      </c>
      <c r="U34" s="28">
        <f t="shared" si="11"/>
        <v>2425005</v>
      </c>
      <c r="V34" s="28">
        <f>T34-E34-F34-I34</f>
        <v>2272835</v>
      </c>
      <c r="W34" s="29">
        <v>2425000</v>
      </c>
      <c r="X34" t="s">
        <v>28</v>
      </c>
    </row>
    <row r="35" s="1" customFormat="1" customHeight="1" spans="1:24">
      <c r="A35" s="9">
        <v>31</v>
      </c>
      <c r="B35" s="9" t="s">
        <v>44</v>
      </c>
      <c r="C35" s="9">
        <v>213</v>
      </c>
      <c r="D35" s="10"/>
      <c r="E35" s="14"/>
      <c r="F35" s="11"/>
      <c r="G35" s="11"/>
      <c r="H35" s="13">
        <f t="shared" si="3"/>
        <v>0</v>
      </c>
      <c r="I35" s="21">
        <v>0</v>
      </c>
      <c r="J35" s="14"/>
      <c r="K35" s="26"/>
      <c r="L35" s="13"/>
      <c r="M35" s="13"/>
      <c r="N35" s="22">
        <v>0</v>
      </c>
      <c r="O35" s="22">
        <v>0</v>
      </c>
      <c r="P35" s="25">
        <v>50000</v>
      </c>
      <c r="Q35" s="32"/>
      <c r="R35" s="25"/>
      <c r="S35" s="28"/>
      <c r="T35" s="28">
        <v>0</v>
      </c>
      <c r="U35" s="28">
        <f t="shared" si="11"/>
        <v>50000</v>
      </c>
      <c r="V35" s="28">
        <f>T35-E35-F35-I35</f>
        <v>0</v>
      </c>
      <c r="W35" s="29">
        <v>50000</v>
      </c>
      <c r="X35" t="s">
        <v>28</v>
      </c>
    </row>
    <row r="36" spans="1:24">
      <c r="A36" s="9">
        <v>32</v>
      </c>
      <c r="B36" s="9" t="s">
        <v>45</v>
      </c>
      <c r="C36" s="9">
        <v>214</v>
      </c>
      <c r="D36" s="10">
        <v>3150000</v>
      </c>
      <c r="E36" s="11">
        <v>0</v>
      </c>
      <c r="F36" s="11"/>
      <c r="G36" s="11"/>
      <c r="H36" s="13">
        <f t="shared" si="3"/>
        <v>0</v>
      </c>
      <c r="I36" s="21">
        <f>25000+472500+200001+901000</f>
        <v>1598501</v>
      </c>
      <c r="J36" s="18"/>
      <c r="K36" s="18"/>
      <c r="L36" s="10"/>
      <c r="M36" s="10"/>
      <c r="N36" s="22">
        <f>697500+901000</f>
        <v>1598500</v>
      </c>
      <c r="O36" s="22">
        <f t="shared" ref="O36:O48" si="12">N36*1%</f>
        <v>15985</v>
      </c>
      <c r="P36" s="25">
        <f>675750+675751</f>
        <v>1351501</v>
      </c>
      <c r="Q36" s="32">
        <f>675750+675750</f>
        <v>1351500</v>
      </c>
      <c r="R36" s="25">
        <f t="shared" ref="R36:R65" si="13">Q36*1%</f>
        <v>13515</v>
      </c>
      <c r="S36" s="28"/>
      <c r="T36" s="28">
        <f t="shared" ref="T36:T49" si="14">SUM(J36:P36)</f>
        <v>2965986</v>
      </c>
      <c r="U36" s="28">
        <f t="shared" si="11"/>
        <v>2950002</v>
      </c>
      <c r="V36" s="28">
        <f t="shared" ref="V36:V48" si="15">T36-E36-F36-I36</f>
        <v>1367485</v>
      </c>
      <c r="W36" s="29">
        <v>2950000</v>
      </c>
      <c r="X36" t="s">
        <v>28</v>
      </c>
    </row>
    <row r="37" customHeight="1" spans="1:24">
      <c r="A37" s="9">
        <v>33</v>
      </c>
      <c r="B37" s="9" t="s">
        <v>46</v>
      </c>
      <c r="C37" s="9">
        <v>216</v>
      </c>
      <c r="D37" s="10">
        <v>2959000</v>
      </c>
      <c r="E37" s="11">
        <v>0</v>
      </c>
      <c r="F37" s="11"/>
      <c r="G37" s="11"/>
      <c r="H37" s="13">
        <f t="shared" si="3"/>
        <v>0</v>
      </c>
      <c r="I37" s="21">
        <f>25000+390000+668000+200000+270000</f>
        <v>1553000</v>
      </c>
      <c r="J37" s="18"/>
      <c r="K37" s="18"/>
      <c r="L37" s="10"/>
      <c r="M37" s="10"/>
      <c r="N37" s="22">
        <f>225000+390000+270000+668000</f>
        <v>1553000</v>
      </c>
      <c r="O37" s="22">
        <f t="shared" si="12"/>
        <v>15530</v>
      </c>
      <c r="P37" s="25">
        <f>732000+474000</f>
        <v>1206000</v>
      </c>
      <c r="Q37" s="32">
        <f>732000+474000</f>
        <v>1206000</v>
      </c>
      <c r="R37" s="25">
        <f t="shared" si="13"/>
        <v>12060</v>
      </c>
      <c r="S37" s="28"/>
      <c r="T37" s="28">
        <f t="shared" si="14"/>
        <v>2774530</v>
      </c>
      <c r="U37" s="28">
        <f t="shared" ref="U37:U51" si="16">E37+F37+I37+P37</f>
        <v>2759000</v>
      </c>
      <c r="V37" s="28">
        <f t="shared" si="15"/>
        <v>1221530</v>
      </c>
      <c r="W37" s="29">
        <v>2759000</v>
      </c>
      <c r="X37" t="s">
        <v>28</v>
      </c>
    </row>
    <row r="38" customHeight="1" spans="1:24">
      <c r="A38" s="9">
        <v>34</v>
      </c>
      <c r="B38" s="9" t="s">
        <v>47</v>
      </c>
      <c r="C38" s="9">
        <v>218</v>
      </c>
      <c r="D38" s="10">
        <v>2919000</v>
      </c>
      <c r="E38" s="11">
        <v>0</v>
      </c>
      <c r="F38" s="11"/>
      <c r="G38" s="11"/>
      <c r="H38" s="13">
        <f t="shared" ref="H38:H69" si="17">G38*1%</f>
        <v>0</v>
      </c>
      <c r="I38" s="21">
        <f>350000+25000+390000+300000+350000+470000+360000</f>
        <v>2245000</v>
      </c>
      <c r="J38" s="18"/>
      <c r="K38" s="18"/>
      <c r="L38" s="10"/>
      <c r="M38" s="10"/>
      <c r="N38" s="22">
        <f>225000+390000+270000+360000+300000+700000</f>
        <v>2245000</v>
      </c>
      <c r="O38" s="22">
        <f t="shared" si="12"/>
        <v>22450</v>
      </c>
      <c r="P38" s="25">
        <f>400000+74000</f>
        <v>474000</v>
      </c>
      <c r="Q38" s="32">
        <f>474000+200000</f>
        <v>674000</v>
      </c>
      <c r="R38" s="25">
        <f t="shared" si="13"/>
        <v>6740</v>
      </c>
      <c r="S38" s="28"/>
      <c r="T38" s="28">
        <f t="shared" si="14"/>
        <v>2741450</v>
      </c>
      <c r="U38" s="28">
        <f t="shared" si="16"/>
        <v>2719000</v>
      </c>
      <c r="V38" s="28">
        <f t="shared" si="15"/>
        <v>496450</v>
      </c>
      <c r="W38" s="29">
        <v>2719000</v>
      </c>
      <c r="X38" t="s">
        <v>28</v>
      </c>
    </row>
    <row r="39" customHeight="1" spans="1:24">
      <c r="A39" s="9">
        <v>35</v>
      </c>
      <c r="B39" s="9" t="s">
        <v>31</v>
      </c>
      <c r="C39" s="9">
        <v>220</v>
      </c>
      <c r="D39" s="10">
        <v>2600000</v>
      </c>
      <c r="E39" s="11">
        <v>0</v>
      </c>
      <c r="F39" s="12">
        <f>815000+39000+200000+400000+40000</f>
        <v>1494000</v>
      </c>
      <c r="G39" s="12"/>
      <c r="H39" s="13">
        <f t="shared" si="17"/>
        <v>0</v>
      </c>
      <c r="I39" s="21">
        <v>500000</v>
      </c>
      <c r="J39" s="18"/>
      <c r="K39" s="18"/>
      <c r="L39" s="13">
        <f>225000+1229000</f>
        <v>1454000</v>
      </c>
      <c r="M39" s="13">
        <f t="shared" ref="M39:M45" si="18">L39*1%</f>
        <v>14540</v>
      </c>
      <c r="N39" s="22">
        <f>540000</f>
        <v>540000</v>
      </c>
      <c r="O39" s="22">
        <f t="shared" si="12"/>
        <v>5400</v>
      </c>
      <c r="P39" s="25">
        <f>500000+106000+31818+31818</f>
        <v>669636</v>
      </c>
      <c r="Q39" s="32">
        <v>406000</v>
      </c>
      <c r="R39" s="25">
        <f t="shared" si="13"/>
        <v>4060</v>
      </c>
      <c r="S39" s="28"/>
      <c r="T39" s="28">
        <f t="shared" si="14"/>
        <v>2683576</v>
      </c>
      <c r="U39" s="28">
        <f t="shared" si="16"/>
        <v>2663636</v>
      </c>
      <c r="V39" s="28">
        <f t="shared" si="15"/>
        <v>689576</v>
      </c>
      <c r="W39" s="29">
        <v>2631818</v>
      </c>
      <c r="X39" s="33">
        <f>U39-W39</f>
        <v>31818</v>
      </c>
    </row>
    <row r="40" customHeight="1" spans="1:24">
      <c r="A40" s="9">
        <v>36</v>
      </c>
      <c r="B40" s="9" t="s">
        <v>48</v>
      </c>
      <c r="C40" s="9">
        <v>221</v>
      </c>
      <c r="D40" s="10">
        <v>2679000</v>
      </c>
      <c r="E40" s="11">
        <v>0</v>
      </c>
      <c r="F40" s="12">
        <v>1572140</v>
      </c>
      <c r="G40" s="12"/>
      <c r="H40" s="13">
        <f t="shared" si="17"/>
        <v>0</v>
      </c>
      <c r="I40" s="21">
        <v>500000</v>
      </c>
      <c r="J40" s="18"/>
      <c r="K40" s="18"/>
      <c r="L40" s="13">
        <f>1484000+550000</f>
        <v>2034000</v>
      </c>
      <c r="M40" s="13">
        <f t="shared" si="18"/>
        <v>20340</v>
      </c>
      <c r="N40" s="22">
        <f>550000</f>
        <v>550000</v>
      </c>
      <c r="O40" s="22">
        <f t="shared" si="12"/>
        <v>5500</v>
      </c>
      <c r="P40" s="25">
        <f>120860+156000</f>
        <v>276860</v>
      </c>
      <c r="Q40" s="32">
        <v>95000</v>
      </c>
      <c r="R40" s="25">
        <f t="shared" si="13"/>
        <v>950</v>
      </c>
      <c r="S40" s="28"/>
      <c r="T40" s="28">
        <f t="shared" si="14"/>
        <v>2886700</v>
      </c>
      <c r="U40" s="28">
        <f t="shared" si="16"/>
        <v>2349000</v>
      </c>
      <c r="V40" s="28">
        <f t="shared" si="15"/>
        <v>814560</v>
      </c>
      <c r="W40" s="29">
        <v>2349000</v>
      </c>
      <c r="X40" t="s">
        <v>28</v>
      </c>
    </row>
    <row r="41" customHeight="1" spans="1:24">
      <c r="A41" s="9">
        <v>37</v>
      </c>
      <c r="B41" s="9" t="s">
        <v>49</v>
      </c>
      <c r="C41" s="9">
        <v>222</v>
      </c>
      <c r="D41" s="10">
        <v>2639000</v>
      </c>
      <c r="E41" s="11">
        <v>0</v>
      </c>
      <c r="F41" s="12">
        <f>25000+200000+74000+516000+505000</f>
        <v>1320000</v>
      </c>
      <c r="G41" s="12"/>
      <c r="H41" s="13">
        <f t="shared" si="17"/>
        <v>0</v>
      </c>
      <c r="I41" s="21">
        <v>674000</v>
      </c>
      <c r="J41" s="18"/>
      <c r="K41" s="18"/>
      <c r="L41" s="13">
        <f>225000+1229000</f>
        <v>1454000</v>
      </c>
      <c r="M41" s="13">
        <f t="shared" si="18"/>
        <v>14540</v>
      </c>
      <c r="N41" s="22">
        <f>540000</f>
        <v>540000</v>
      </c>
      <c r="O41" s="22">
        <f t="shared" si="12"/>
        <v>5400</v>
      </c>
      <c r="P41" s="25">
        <v>249150</v>
      </c>
      <c r="Q41" s="32">
        <f>445000+200000</f>
        <v>645000</v>
      </c>
      <c r="R41" s="25">
        <f t="shared" si="13"/>
        <v>6450</v>
      </c>
      <c r="S41" s="28"/>
      <c r="T41" s="28">
        <f t="shared" si="14"/>
        <v>2263090</v>
      </c>
      <c r="U41" s="28">
        <f t="shared" si="16"/>
        <v>2243150</v>
      </c>
      <c r="V41" s="28">
        <f t="shared" si="15"/>
        <v>269090</v>
      </c>
      <c r="W41" s="29">
        <v>2243150</v>
      </c>
      <c r="X41" t="s">
        <v>28</v>
      </c>
    </row>
    <row r="42" customHeight="1" spans="1:24">
      <c r="A42" s="9">
        <v>38</v>
      </c>
      <c r="B42" s="9" t="s">
        <v>50</v>
      </c>
      <c r="C42" s="9">
        <v>301</v>
      </c>
      <c r="D42" s="10">
        <v>2719000</v>
      </c>
      <c r="E42" s="11">
        <v>0</v>
      </c>
      <c r="F42" s="12">
        <f>25000+200000+390000+230000+659000</f>
        <v>1504000</v>
      </c>
      <c r="G42" s="12"/>
      <c r="H42" s="13">
        <f t="shared" si="17"/>
        <v>0</v>
      </c>
      <c r="I42" s="21">
        <v>560000</v>
      </c>
      <c r="J42" s="18"/>
      <c r="K42" s="18"/>
      <c r="L42" s="13">
        <f>1504000+225000</f>
        <v>1729000</v>
      </c>
      <c r="M42" s="13">
        <f t="shared" si="18"/>
        <v>17290</v>
      </c>
      <c r="N42" s="22">
        <v>560000</v>
      </c>
      <c r="O42" s="22">
        <f t="shared" si="12"/>
        <v>5600</v>
      </c>
      <c r="P42" s="25">
        <f>455000+233008</f>
        <v>688008</v>
      </c>
      <c r="Q42" s="32">
        <v>430000</v>
      </c>
      <c r="R42" s="25">
        <f t="shared" si="13"/>
        <v>4300</v>
      </c>
      <c r="S42" s="28"/>
      <c r="T42" s="28">
        <f t="shared" si="14"/>
        <v>2999898</v>
      </c>
      <c r="U42" s="28">
        <f t="shared" si="16"/>
        <v>2752008</v>
      </c>
      <c r="V42" s="28">
        <f t="shared" si="15"/>
        <v>935898</v>
      </c>
      <c r="W42" s="29">
        <v>2752008</v>
      </c>
      <c r="X42" t="s">
        <v>28</v>
      </c>
    </row>
    <row r="43" customHeight="1" spans="1:24">
      <c r="A43" s="9">
        <v>39</v>
      </c>
      <c r="B43" s="9" t="s">
        <v>51</v>
      </c>
      <c r="C43" s="9">
        <v>302</v>
      </c>
      <c r="D43" s="10">
        <v>2850000</v>
      </c>
      <c r="E43" s="11"/>
      <c r="F43" s="12">
        <f>25000+200000+390000+25000</f>
        <v>640000</v>
      </c>
      <c r="G43" s="12"/>
      <c r="H43" s="13">
        <f t="shared" si="17"/>
        <v>0</v>
      </c>
      <c r="I43" s="21">
        <f>270000+550000+660000</f>
        <v>1480000</v>
      </c>
      <c r="J43" s="21"/>
      <c r="K43" s="21"/>
      <c r="L43" s="22">
        <f>660000</f>
        <v>660000</v>
      </c>
      <c r="M43" s="22">
        <f t="shared" si="18"/>
        <v>6600</v>
      </c>
      <c r="N43" s="22">
        <f>660000+650000+225000</f>
        <v>1535000</v>
      </c>
      <c r="O43" s="22">
        <f t="shared" si="12"/>
        <v>15350</v>
      </c>
      <c r="P43" s="25">
        <f>455000+200000+33318</f>
        <v>688318</v>
      </c>
      <c r="Q43" s="32">
        <f>455000+200000</f>
        <v>655000</v>
      </c>
      <c r="R43" s="25">
        <f t="shared" si="13"/>
        <v>6550</v>
      </c>
      <c r="S43" s="32">
        <v>5428</v>
      </c>
      <c r="T43" s="28">
        <f t="shared" si="14"/>
        <v>2905268</v>
      </c>
      <c r="U43" s="28">
        <f t="shared" si="16"/>
        <v>2808318</v>
      </c>
      <c r="V43" s="28">
        <f t="shared" si="15"/>
        <v>785268</v>
      </c>
      <c r="W43" s="29">
        <v>2783318</v>
      </c>
      <c r="X43" s="33">
        <f>U43-W43</f>
        <v>25000</v>
      </c>
    </row>
    <row r="44" customHeight="1" spans="1:24">
      <c r="A44" s="9">
        <v>40</v>
      </c>
      <c r="B44" s="15" t="s">
        <v>52</v>
      </c>
      <c r="C44" s="9">
        <v>303</v>
      </c>
      <c r="D44" s="10">
        <v>2825000</v>
      </c>
      <c r="E44" s="11">
        <v>0</v>
      </c>
      <c r="F44" s="12">
        <f>25000+100000+60000+15000+100000+25000+50000+50000+1076996+25000</f>
        <v>1526996</v>
      </c>
      <c r="G44" s="12"/>
      <c r="H44" s="13">
        <f t="shared" si="17"/>
        <v>0</v>
      </c>
      <c r="I44" s="21">
        <f>605000</f>
        <v>605000</v>
      </c>
      <c r="J44" s="21"/>
      <c r="K44" s="21"/>
      <c r="L44" s="22">
        <f>815000+660000</f>
        <v>1475000</v>
      </c>
      <c r="M44" s="22">
        <f t="shared" si="18"/>
        <v>14750</v>
      </c>
      <c r="N44" s="22">
        <f>585000</f>
        <v>585000</v>
      </c>
      <c r="O44" s="22">
        <f t="shared" si="12"/>
        <v>5850</v>
      </c>
      <c r="P44" s="25">
        <v>500000</v>
      </c>
      <c r="Q44" s="32">
        <f>495000+270000</f>
        <v>765000</v>
      </c>
      <c r="R44" s="25">
        <f t="shared" si="13"/>
        <v>7650</v>
      </c>
      <c r="S44" s="28"/>
      <c r="T44" s="28">
        <f t="shared" si="14"/>
        <v>2580600</v>
      </c>
      <c r="U44" s="28">
        <f t="shared" si="16"/>
        <v>2631996</v>
      </c>
      <c r="V44" s="28">
        <f t="shared" si="15"/>
        <v>448604</v>
      </c>
      <c r="W44" s="29">
        <v>2631996</v>
      </c>
      <c r="X44" t="s">
        <v>28</v>
      </c>
    </row>
    <row r="45" customHeight="1" spans="1:24">
      <c r="A45" s="9">
        <v>41</v>
      </c>
      <c r="B45" s="15" t="s">
        <v>53</v>
      </c>
      <c r="C45" s="9">
        <v>304</v>
      </c>
      <c r="D45" s="10">
        <v>2800000</v>
      </c>
      <c r="E45" s="11">
        <v>0</v>
      </c>
      <c r="F45" s="12">
        <f>25000+200000+50000+375000</f>
        <v>650000</v>
      </c>
      <c r="G45" s="12"/>
      <c r="H45" s="13">
        <f t="shared" si="17"/>
        <v>0</v>
      </c>
      <c r="I45" s="21">
        <f>100000+135000+660000+600000</f>
        <v>1495000</v>
      </c>
      <c r="J45" s="18"/>
      <c r="K45" s="18"/>
      <c r="L45" s="13">
        <f>615000+270000</f>
        <v>885000</v>
      </c>
      <c r="M45" s="13">
        <f t="shared" si="18"/>
        <v>8850</v>
      </c>
      <c r="N45" s="22">
        <f>660000+600000</f>
        <v>1260000</v>
      </c>
      <c r="O45" s="22">
        <f t="shared" si="12"/>
        <v>12600</v>
      </c>
      <c r="P45" s="25">
        <v>378000</v>
      </c>
      <c r="Q45" s="32">
        <v>455000</v>
      </c>
      <c r="R45" s="25">
        <f t="shared" si="13"/>
        <v>4550</v>
      </c>
      <c r="S45" s="28"/>
      <c r="T45" s="28">
        <f t="shared" si="14"/>
        <v>2544450</v>
      </c>
      <c r="U45" s="28">
        <f t="shared" si="16"/>
        <v>2523000</v>
      </c>
      <c r="V45" s="28">
        <f t="shared" si="15"/>
        <v>399450</v>
      </c>
      <c r="W45" s="29">
        <v>2523000</v>
      </c>
      <c r="X45" t="s">
        <v>28</v>
      </c>
    </row>
    <row r="46" customHeight="1" spans="1:24">
      <c r="A46" s="9">
        <v>42</v>
      </c>
      <c r="B46" s="9" t="s">
        <v>54</v>
      </c>
      <c r="C46" s="9">
        <v>305</v>
      </c>
      <c r="D46" s="10">
        <v>2500000</v>
      </c>
      <c r="E46" s="11">
        <v>0</v>
      </c>
      <c r="F46" s="11">
        <v>0</v>
      </c>
      <c r="G46" s="11"/>
      <c r="H46" s="13">
        <f t="shared" si="17"/>
        <v>0</v>
      </c>
      <c r="I46" s="21">
        <f>25000+500000+270000+1000000+28000</f>
        <v>1823000</v>
      </c>
      <c r="J46" s="21"/>
      <c r="K46" s="21"/>
      <c r="L46" s="22"/>
      <c r="M46" s="22"/>
      <c r="N46" s="22">
        <f>885000+660000</f>
        <v>1545000</v>
      </c>
      <c r="O46" s="22">
        <f t="shared" si="12"/>
        <v>15450</v>
      </c>
      <c r="P46" s="25">
        <f>250000+227000</f>
        <v>477000</v>
      </c>
      <c r="Q46" s="32">
        <f>281000+474000</f>
        <v>755000</v>
      </c>
      <c r="R46" s="25">
        <f t="shared" si="13"/>
        <v>7550</v>
      </c>
      <c r="S46" s="28"/>
      <c r="T46" s="28">
        <f t="shared" si="14"/>
        <v>2037450</v>
      </c>
      <c r="U46" s="28">
        <f t="shared" si="16"/>
        <v>2300000</v>
      </c>
      <c r="V46" s="28">
        <f t="shared" si="15"/>
        <v>214450</v>
      </c>
      <c r="W46" s="29">
        <v>2300000</v>
      </c>
      <c r="X46" t="s">
        <v>28</v>
      </c>
    </row>
    <row r="47" customHeight="1" spans="1:24">
      <c r="A47" s="9">
        <v>43</v>
      </c>
      <c r="B47" s="9" t="s">
        <v>55</v>
      </c>
      <c r="C47" s="9">
        <v>306</v>
      </c>
      <c r="D47" s="10">
        <v>2759000</v>
      </c>
      <c r="E47" s="11">
        <v>0</v>
      </c>
      <c r="F47" s="12">
        <f>1514100+25000</f>
        <v>1539100</v>
      </c>
      <c r="G47" s="12"/>
      <c r="H47" s="13">
        <f t="shared" si="17"/>
        <v>0</v>
      </c>
      <c r="I47" s="21">
        <v>560000</v>
      </c>
      <c r="J47" s="21"/>
      <c r="K47" s="21"/>
      <c r="L47" s="22">
        <f>615000+270000+690000</f>
        <v>1575000</v>
      </c>
      <c r="M47" s="22">
        <f>L47*1%</f>
        <v>15750</v>
      </c>
      <c r="N47" s="22">
        <f>529000</f>
        <v>529000</v>
      </c>
      <c r="O47" s="22">
        <f t="shared" si="12"/>
        <v>5290</v>
      </c>
      <c r="P47" s="25">
        <v>310000</v>
      </c>
      <c r="Q47" s="32">
        <v>455000</v>
      </c>
      <c r="R47" s="25">
        <f t="shared" si="13"/>
        <v>4550</v>
      </c>
      <c r="S47" s="28"/>
      <c r="T47" s="28">
        <f t="shared" si="14"/>
        <v>2435040</v>
      </c>
      <c r="U47" s="28">
        <f t="shared" si="16"/>
        <v>2409100</v>
      </c>
      <c r="V47" s="28">
        <f t="shared" si="15"/>
        <v>335940</v>
      </c>
      <c r="W47" s="29">
        <v>2384100</v>
      </c>
      <c r="X47" s="33">
        <f>U47-W47</f>
        <v>25000</v>
      </c>
    </row>
    <row r="48" customHeight="1" spans="1:24">
      <c r="A48" s="9">
        <v>44</v>
      </c>
      <c r="B48" s="9" t="s">
        <v>56</v>
      </c>
      <c r="C48" s="9">
        <v>307</v>
      </c>
      <c r="D48" s="10">
        <v>2875000</v>
      </c>
      <c r="E48" s="11">
        <v>0</v>
      </c>
      <c r="F48" s="12">
        <f>25000+300000</f>
        <v>325000</v>
      </c>
      <c r="G48" s="12"/>
      <c r="H48" s="13">
        <f t="shared" si="17"/>
        <v>0</v>
      </c>
      <c r="I48" s="21">
        <f>591600+660000</f>
        <v>1251600</v>
      </c>
      <c r="J48" s="21"/>
      <c r="K48" s="21"/>
      <c r="L48" s="22">
        <f>225000+390000</f>
        <v>615000</v>
      </c>
      <c r="M48" s="22">
        <f>L48*1%</f>
        <v>6150</v>
      </c>
      <c r="N48" s="22">
        <f>270000+660000</f>
        <v>930000</v>
      </c>
      <c r="O48" s="22">
        <f t="shared" si="12"/>
        <v>9300</v>
      </c>
      <c r="P48" s="25">
        <f>675000+396000</f>
        <v>1071000</v>
      </c>
      <c r="Q48" s="32">
        <f>752000</f>
        <v>752000</v>
      </c>
      <c r="R48" s="25">
        <f t="shared" si="13"/>
        <v>7520</v>
      </c>
      <c r="S48" s="28"/>
      <c r="T48" s="28">
        <f t="shared" si="14"/>
        <v>2631450</v>
      </c>
      <c r="U48" s="28">
        <f t="shared" si="16"/>
        <v>2647600</v>
      </c>
      <c r="V48" s="28">
        <f t="shared" si="15"/>
        <v>1054850</v>
      </c>
      <c r="W48" s="29">
        <v>2647600</v>
      </c>
      <c r="X48" s="33">
        <f>U48-W48</f>
        <v>0</v>
      </c>
    </row>
    <row r="49" customHeight="1" spans="1:24">
      <c r="A49" s="9">
        <v>45</v>
      </c>
      <c r="B49" s="9" t="s">
        <v>57</v>
      </c>
      <c r="C49" s="9">
        <v>308</v>
      </c>
      <c r="D49" s="10">
        <v>0</v>
      </c>
      <c r="E49" s="11"/>
      <c r="F49" s="12"/>
      <c r="G49" s="12"/>
      <c r="H49" s="13">
        <f t="shared" si="17"/>
        <v>0</v>
      </c>
      <c r="I49" s="21">
        <v>0</v>
      </c>
      <c r="J49" s="21"/>
      <c r="K49" s="21"/>
      <c r="L49" s="22"/>
      <c r="M49" s="22"/>
      <c r="N49" s="22">
        <v>0</v>
      </c>
      <c r="O49" s="22">
        <v>0</v>
      </c>
      <c r="P49" s="25">
        <f>25000+100000+490000+264000+200000+449000+652000</f>
        <v>2180000</v>
      </c>
      <c r="Q49" s="32">
        <f>885000+1420000</f>
        <v>2305000</v>
      </c>
      <c r="R49" s="25">
        <f t="shared" si="13"/>
        <v>23050</v>
      </c>
      <c r="S49" s="28"/>
      <c r="T49" s="28">
        <f t="shared" si="14"/>
        <v>2180000</v>
      </c>
      <c r="U49" s="28">
        <f t="shared" si="16"/>
        <v>2180000</v>
      </c>
      <c r="V49" s="28">
        <v>0</v>
      </c>
      <c r="W49" s="29">
        <v>2180000</v>
      </c>
      <c r="X49" t="s">
        <v>28</v>
      </c>
    </row>
    <row r="50" customHeight="1" spans="1:24">
      <c r="A50" s="9">
        <v>46</v>
      </c>
      <c r="B50" s="9" t="s">
        <v>58</v>
      </c>
      <c r="C50" s="9">
        <v>311</v>
      </c>
      <c r="D50" s="10">
        <v>2388000</v>
      </c>
      <c r="E50" s="11">
        <v>0</v>
      </c>
      <c r="F50" s="11"/>
      <c r="G50" s="11"/>
      <c r="H50" s="13">
        <f t="shared" si="17"/>
        <v>0</v>
      </c>
      <c r="I50" s="21">
        <f>25000+800000+800000+738000</f>
        <v>2363000</v>
      </c>
      <c r="J50" s="21"/>
      <c r="K50" s="21"/>
      <c r="L50" s="22"/>
      <c r="M50" s="22"/>
      <c r="N50" s="22">
        <f>835000+920000+433000</f>
        <v>2188000</v>
      </c>
      <c r="O50" s="22">
        <f t="shared" ref="O50:O55" si="19">N50*1%</f>
        <v>21880</v>
      </c>
      <c r="P50" s="25">
        <v>0</v>
      </c>
      <c r="Q50" s="32">
        <v>200000</v>
      </c>
      <c r="R50" s="25">
        <f t="shared" si="13"/>
        <v>2000</v>
      </c>
      <c r="S50" s="32">
        <v>5428</v>
      </c>
      <c r="T50" s="28">
        <f t="shared" ref="T50:T65" si="20">SUM(J50:P50)</f>
        <v>2209880</v>
      </c>
      <c r="U50" s="28">
        <f t="shared" si="16"/>
        <v>2363000</v>
      </c>
      <c r="V50" s="28">
        <f t="shared" ref="V50:V65" si="21">T50-E50-F50-I50</f>
        <v>-153120</v>
      </c>
      <c r="W50" s="29">
        <v>2363000</v>
      </c>
      <c r="X50" t="s">
        <v>28</v>
      </c>
    </row>
    <row r="51" customHeight="1" spans="1:24">
      <c r="A51" s="9">
        <v>47</v>
      </c>
      <c r="B51" s="9" t="s">
        <v>59</v>
      </c>
      <c r="C51" s="9">
        <v>312</v>
      </c>
      <c r="D51" s="10">
        <v>3079000</v>
      </c>
      <c r="E51" s="11">
        <v>0</v>
      </c>
      <c r="F51" s="11"/>
      <c r="G51" s="11"/>
      <c r="H51" s="13">
        <f t="shared" si="17"/>
        <v>0</v>
      </c>
      <c r="I51" s="21">
        <f>25000+300000+200000+1028000</f>
        <v>1553000</v>
      </c>
      <c r="J51" s="18"/>
      <c r="K51" s="18"/>
      <c r="L51" s="10"/>
      <c r="M51" s="10"/>
      <c r="N51" s="22">
        <f>885000+668000</f>
        <v>1553000</v>
      </c>
      <c r="O51" s="22">
        <f t="shared" si="19"/>
        <v>15530</v>
      </c>
      <c r="P51" s="25">
        <f>752000+574000</f>
        <v>1326000</v>
      </c>
      <c r="Q51" s="32">
        <f>752000+574000</f>
        <v>1326000</v>
      </c>
      <c r="R51" s="25">
        <f t="shared" si="13"/>
        <v>13260</v>
      </c>
      <c r="S51" s="28"/>
      <c r="T51" s="28">
        <f t="shared" si="20"/>
        <v>2894530</v>
      </c>
      <c r="U51" s="28">
        <f t="shared" si="16"/>
        <v>2879000</v>
      </c>
      <c r="V51" s="28">
        <f t="shared" si="21"/>
        <v>1341530</v>
      </c>
      <c r="W51" s="29">
        <v>2879000</v>
      </c>
      <c r="X51" t="s">
        <v>28</v>
      </c>
    </row>
    <row r="52" customHeight="1" spans="1:24">
      <c r="A52" s="9">
        <v>48</v>
      </c>
      <c r="B52" s="9" t="s">
        <v>60</v>
      </c>
      <c r="C52" s="9">
        <v>314</v>
      </c>
      <c r="D52" s="10">
        <v>3150000</v>
      </c>
      <c r="E52" s="11">
        <v>0</v>
      </c>
      <c r="F52" s="11"/>
      <c r="G52" s="11"/>
      <c r="H52" s="13">
        <f t="shared" si="17"/>
        <v>0</v>
      </c>
      <c r="I52" s="21">
        <f>25000+100000+100000+263000+1109000</f>
        <v>1597000</v>
      </c>
      <c r="J52" s="18"/>
      <c r="K52" s="18"/>
      <c r="L52" s="10"/>
      <c r="M52" s="10"/>
      <c r="N52" s="22">
        <f>1597000</f>
        <v>1597000</v>
      </c>
      <c r="O52" s="22">
        <f t="shared" si="19"/>
        <v>15970</v>
      </c>
      <c r="P52" s="25">
        <f>675000+611800</f>
        <v>1286800</v>
      </c>
      <c r="Q52" s="32">
        <f>675000+678000</f>
        <v>1353000</v>
      </c>
      <c r="R52" s="25">
        <f t="shared" si="13"/>
        <v>13530</v>
      </c>
      <c r="S52" s="28"/>
      <c r="T52" s="28">
        <f t="shared" si="20"/>
        <v>2899770</v>
      </c>
      <c r="U52" s="28">
        <f t="shared" ref="U52:U64" si="22">E52+F52+I52+P52</f>
        <v>2883800</v>
      </c>
      <c r="V52" s="28">
        <f t="shared" si="21"/>
        <v>1302770</v>
      </c>
      <c r="W52" s="29">
        <v>2883800</v>
      </c>
      <c r="X52" t="s">
        <v>28</v>
      </c>
    </row>
    <row r="53" s="1" customFormat="1" customHeight="1" spans="1:24">
      <c r="A53" s="9">
        <v>49</v>
      </c>
      <c r="B53" s="9" t="s">
        <v>61</v>
      </c>
      <c r="C53" s="9">
        <v>316</v>
      </c>
      <c r="D53" s="10">
        <v>2875000</v>
      </c>
      <c r="E53" s="11">
        <v>0</v>
      </c>
      <c r="F53" s="12">
        <f>25000+300000</f>
        <v>325000</v>
      </c>
      <c r="G53" s="12"/>
      <c r="H53" s="13">
        <f t="shared" si="17"/>
        <v>0</v>
      </c>
      <c r="I53" s="21">
        <f>591541+660000</f>
        <v>1251541</v>
      </c>
      <c r="J53" s="18"/>
      <c r="K53" s="18"/>
      <c r="L53" s="13">
        <f>225000+390000</f>
        <v>615000</v>
      </c>
      <c r="M53" s="13">
        <f>L53*1%</f>
        <v>6150</v>
      </c>
      <c r="N53" s="22">
        <f>270000+660000</f>
        <v>930000</v>
      </c>
      <c r="O53" s="22">
        <f t="shared" si="19"/>
        <v>9300</v>
      </c>
      <c r="P53" s="25">
        <f>675000+396000</f>
        <v>1071000</v>
      </c>
      <c r="Q53" s="32">
        <f>675000+455000</f>
        <v>1130000</v>
      </c>
      <c r="R53" s="25">
        <f t="shared" si="13"/>
        <v>11300</v>
      </c>
      <c r="S53" s="28"/>
      <c r="T53" s="28">
        <f t="shared" si="20"/>
        <v>2631450</v>
      </c>
      <c r="U53" s="28">
        <f t="shared" si="22"/>
        <v>2647541</v>
      </c>
      <c r="V53" s="28">
        <f t="shared" si="21"/>
        <v>1054909</v>
      </c>
      <c r="W53" s="29">
        <v>2647541</v>
      </c>
      <c r="X53" s="34">
        <f>U53-W53</f>
        <v>0</v>
      </c>
    </row>
    <row r="54" customHeight="1" spans="1:24">
      <c r="A54" s="9">
        <v>50</v>
      </c>
      <c r="B54" s="9" t="s">
        <v>62</v>
      </c>
      <c r="C54" s="9">
        <v>317</v>
      </c>
      <c r="D54" s="10">
        <v>3050000</v>
      </c>
      <c r="E54" s="11">
        <v>0</v>
      </c>
      <c r="F54" s="11"/>
      <c r="G54" s="11"/>
      <c r="H54" s="13">
        <f t="shared" si="17"/>
        <v>0</v>
      </c>
      <c r="I54" s="21">
        <f>25000+100000+100000+50050+20000+2031000</f>
        <v>2326050</v>
      </c>
      <c r="J54" s="18"/>
      <c r="K54" s="18"/>
      <c r="L54" s="10"/>
      <c r="M54" s="10"/>
      <c r="N54" s="22">
        <f>1553000+773000</f>
        <v>2326000</v>
      </c>
      <c r="O54" s="22">
        <f t="shared" si="19"/>
        <v>23260</v>
      </c>
      <c r="P54" s="25">
        <f>199650+158850</f>
        <v>358500</v>
      </c>
      <c r="Q54" s="32">
        <v>524000</v>
      </c>
      <c r="R54" s="25">
        <f t="shared" si="13"/>
        <v>5240</v>
      </c>
      <c r="S54" s="28"/>
      <c r="T54" s="28">
        <f t="shared" si="20"/>
        <v>2707760</v>
      </c>
      <c r="U54" s="28">
        <f t="shared" si="22"/>
        <v>2684550</v>
      </c>
      <c r="V54" s="28">
        <f t="shared" si="21"/>
        <v>381710</v>
      </c>
      <c r="W54" s="29">
        <v>2684500</v>
      </c>
      <c r="X54" s="35">
        <f>U54-W54</f>
        <v>50</v>
      </c>
    </row>
    <row r="55" customHeight="1" spans="1:24">
      <c r="A55" s="9">
        <v>51</v>
      </c>
      <c r="B55" s="9" t="s">
        <v>63</v>
      </c>
      <c r="C55" s="9">
        <v>318</v>
      </c>
      <c r="D55" s="10">
        <v>2579000</v>
      </c>
      <c r="E55" s="11">
        <v>0</v>
      </c>
      <c r="F55" s="12">
        <f>1046000+11</f>
        <v>1046011</v>
      </c>
      <c r="G55" s="12"/>
      <c r="H55" s="13">
        <f t="shared" si="17"/>
        <v>0</v>
      </c>
      <c r="I55" s="21">
        <f>667000+540000</f>
        <v>1207000</v>
      </c>
      <c r="J55" s="21"/>
      <c r="K55" s="21"/>
      <c r="L55" s="22">
        <f>225000+381000+877000</f>
        <v>1483000</v>
      </c>
      <c r="M55" s="22">
        <f>L55*1%</f>
        <v>14830</v>
      </c>
      <c r="N55" s="22">
        <v>540000</v>
      </c>
      <c r="O55" s="22">
        <f t="shared" si="19"/>
        <v>5400</v>
      </c>
      <c r="P55" s="10">
        <v>0</v>
      </c>
      <c r="Q55" s="32">
        <f>356000+200000</f>
        <v>556000</v>
      </c>
      <c r="R55" s="25">
        <f t="shared" si="13"/>
        <v>5560</v>
      </c>
      <c r="S55" s="28"/>
      <c r="T55" s="28">
        <f t="shared" si="20"/>
        <v>2043230</v>
      </c>
      <c r="U55" s="28">
        <f t="shared" si="22"/>
        <v>2253011</v>
      </c>
      <c r="V55" s="28">
        <f t="shared" si="21"/>
        <v>-209781</v>
      </c>
      <c r="W55" s="29">
        <v>2253000</v>
      </c>
      <c r="X55" t="s">
        <v>28</v>
      </c>
    </row>
    <row r="56" customHeight="1" spans="1:24">
      <c r="A56" s="9">
        <v>52</v>
      </c>
      <c r="B56" s="9" t="s">
        <v>64</v>
      </c>
      <c r="C56" s="9">
        <v>320</v>
      </c>
      <c r="D56" s="10">
        <v>2750000</v>
      </c>
      <c r="E56" s="11"/>
      <c r="F56" s="12">
        <f>25000+200000+1310000</f>
        <v>1535000</v>
      </c>
      <c r="G56" s="12"/>
      <c r="H56" s="13">
        <f t="shared" si="17"/>
        <v>0</v>
      </c>
      <c r="I56" s="21">
        <f>1215000+25000</f>
        <v>1240000</v>
      </c>
      <c r="J56" s="21"/>
      <c r="K56" s="21"/>
      <c r="L56" s="22">
        <v>1535000</v>
      </c>
      <c r="M56" s="22">
        <f>L56*1%</f>
        <v>15350</v>
      </c>
      <c r="N56" s="22">
        <f>560000+455000</f>
        <v>1015000</v>
      </c>
      <c r="O56" s="22">
        <f t="shared" ref="O56:O64" si="23">N56*1%</f>
        <v>10150</v>
      </c>
      <c r="P56" s="10"/>
      <c r="Q56" s="32">
        <v>200000</v>
      </c>
      <c r="R56" s="25">
        <f t="shared" si="13"/>
        <v>2000</v>
      </c>
      <c r="S56" s="28">
        <v>5428</v>
      </c>
      <c r="T56" s="28">
        <f t="shared" si="20"/>
        <v>2575500</v>
      </c>
      <c r="U56" s="28">
        <f t="shared" si="22"/>
        <v>2775000</v>
      </c>
      <c r="V56" s="28">
        <f t="shared" si="21"/>
        <v>-199500</v>
      </c>
      <c r="W56" s="29">
        <v>2775000</v>
      </c>
      <c r="X56" t="s">
        <v>28</v>
      </c>
    </row>
    <row r="57" customHeight="1" spans="1:24">
      <c r="A57" s="9">
        <v>53</v>
      </c>
      <c r="B57" s="16" t="s">
        <v>65</v>
      </c>
      <c r="C57" s="9">
        <v>321</v>
      </c>
      <c r="D57" s="10">
        <v>2800000</v>
      </c>
      <c r="E57" s="11"/>
      <c r="F57" s="12">
        <v>25000</v>
      </c>
      <c r="G57" s="12"/>
      <c r="H57" s="13">
        <f t="shared" si="17"/>
        <v>0</v>
      </c>
      <c r="I57" s="21">
        <f>200000+270000+330000+455000+390000+330000+600000</f>
        <v>2575000</v>
      </c>
      <c r="J57" s="18"/>
      <c r="K57" s="18"/>
      <c r="L57" s="10"/>
      <c r="M57" s="10"/>
      <c r="N57" s="22">
        <f>225000+390000+270000+660000+600000+455000</f>
        <v>2600000</v>
      </c>
      <c r="O57" s="22">
        <f t="shared" si="23"/>
        <v>26000</v>
      </c>
      <c r="P57" s="10"/>
      <c r="Q57" s="32">
        <v>200000</v>
      </c>
      <c r="R57" s="25">
        <f t="shared" si="13"/>
        <v>2000</v>
      </c>
      <c r="S57" s="28">
        <v>0</v>
      </c>
      <c r="T57" s="28">
        <f t="shared" si="20"/>
        <v>2626000</v>
      </c>
      <c r="U57" s="28">
        <f t="shared" si="22"/>
        <v>2600000</v>
      </c>
      <c r="V57" s="28">
        <f t="shared" si="21"/>
        <v>26000</v>
      </c>
      <c r="W57" s="29">
        <v>2600000</v>
      </c>
      <c r="X57" t="s">
        <v>28</v>
      </c>
    </row>
    <row r="58" customHeight="1" spans="1:24">
      <c r="A58" s="9">
        <v>54</v>
      </c>
      <c r="B58" s="9" t="s">
        <v>66</v>
      </c>
      <c r="C58" s="9">
        <v>322</v>
      </c>
      <c r="D58" s="10">
        <v>2719000</v>
      </c>
      <c r="E58" s="11"/>
      <c r="F58" s="12">
        <f>25000+200000+390000+230000+659000</f>
        <v>1504000</v>
      </c>
      <c r="G58" s="12"/>
      <c r="H58" s="13">
        <f t="shared" si="17"/>
        <v>0</v>
      </c>
      <c r="I58" s="21">
        <f>560000</f>
        <v>560000</v>
      </c>
      <c r="J58" s="21"/>
      <c r="K58" s="21"/>
      <c r="L58" s="22">
        <v>1504000</v>
      </c>
      <c r="M58" s="22">
        <f t="shared" ref="M58:M64" si="24">L58*1%</f>
        <v>15040</v>
      </c>
      <c r="N58" s="22">
        <f>560000</f>
        <v>560000</v>
      </c>
      <c r="O58" s="22">
        <f t="shared" si="23"/>
        <v>5600</v>
      </c>
      <c r="P58" s="25">
        <v>455000</v>
      </c>
      <c r="Q58" s="32">
        <f>455000+200000</f>
        <v>655000</v>
      </c>
      <c r="R58" s="25">
        <f t="shared" si="13"/>
        <v>6550</v>
      </c>
      <c r="S58" s="28"/>
      <c r="T58" s="28">
        <f t="shared" si="20"/>
        <v>2539640</v>
      </c>
      <c r="U58" s="28">
        <f t="shared" si="22"/>
        <v>2519000</v>
      </c>
      <c r="V58" s="36">
        <f t="shared" si="21"/>
        <v>475640</v>
      </c>
      <c r="W58" s="29">
        <v>2519000</v>
      </c>
      <c r="X58" t="s">
        <v>28</v>
      </c>
    </row>
    <row r="59" customHeight="1" spans="1:24">
      <c r="A59" s="9">
        <v>55</v>
      </c>
      <c r="B59" s="9" t="s">
        <v>67</v>
      </c>
      <c r="C59" s="9">
        <v>401</v>
      </c>
      <c r="D59" s="10">
        <v>2550000</v>
      </c>
      <c r="E59" s="14">
        <f>605000</f>
        <v>605000</v>
      </c>
      <c r="F59" s="12">
        <f>210000+639000</f>
        <v>849000</v>
      </c>
      <c r="G59" s="12"/>
      <c r="H59" s="13">
        <f t="shared" si="17"/>
        <v>0</v>
      </c>
      <c r="I59" s="21">
        <f>240000+300000</f>
        <v>540000</v>
      </c>
      <c r="J59" s="14">
        <f>225000+380000</f>
        <v>605000</v>
      </c>
      <c r="K59" s="26">
        <f>J59*1%</f>
        <v>6050</v>
      </c>
      <c r="L59" s="13">
        <v>849000</v>
      </c>
      <c r="M59" s="13">
        <f t="shared" si="24"/>
        <v>8490</v>
      </c>
      <c r="N59" s="22">
        <f>540000</f>
        <v>540000</v>
      </c>
      <c r="O59" s="22">
        <f t="shared" si="23"/>
        <v>5400</v>
      </c>
      <c r="P59" s="25">
        <f>100000+100000+156000</f>
        <v>356000</v>
      </c>
      <c r="Q59" s="32">
        <f>356000+200000</f>
        <v>556000</v>
      </c>
      <c r="R59" s="25">
        <f t="shared" si="13"/>
        <v>5560</v>
      </c>
      <c r="S59" s="28"/>
      <c r="T59" s="28">
        <f t="shared" si="20"/>
        <v>2369940</v>
      </c>
      <c r="U59" s="28">
        <f t="shared" si="22"/>
        <v>2350000</v>
      </c>
      <c r="V59" s="28">
        <f t="shared" si="21"/>
        <v>375940</v>
      </c>
      <c r="W59" s="29">
        <v>2350000</v>
      </c>
      <c r="X59" t="s">
        <v>28</v>
      </c>
    </row>
    <row r="60" customHeight="1" spans="1:24">
      <c r="A60" s="9">
        <v>56</v>
      </c>
      <c r="B60" s="9" t="s">
        <v>68</v>
      </c>
      <c r="C60" s="9">
        <v>402</v>
      </c>
      <c r="D60" s="10">
        <v>2400000</v>
      </c>
      <c r="E60" s="14">
        <v>605000</v>
      </c>
      <c r="F60" s="12">
        <f>210000+500000+39000</f>
        <v>749000</v>
      </c>
      <c r="G60" s="12"/>
      <c r="H60" s="13">
        <f t="shared" si="17"/>
        <v>0</v>
      </c>
      <c r="I60" s="21">
        <f>500000+40000</f>
        <v>540000</v>
      </c>
      <c r="J60" s="21">
        <f>225000+380000</f>
        <v>605000</v>
      </c>
      <c r="K60" s="22">
        <f>J60*1%</f>
        <v>6050</v>
      </c>
      <c r="L60" s="22">
        <v>749000</v>
      </c>
      <c r="M60" s="22">
        <f t="shared" si="24"/>
        <v>7490</v>
      </c>
      <c r="N60" s="22">
        <v>540000</v>
      </c>
      <c r="O60" s="22">
        <f t="shared" si="23"/>
        <v>5400</v>
      </c>
      <c r="P60" s="25">
        <f>306000+1</f>
        <v>306001</v>
      </c>
      <c r="Q60" s="32">
        <f>306000+200000</f>
        <v>506000</v>
      </c>
      <c r="R60" s="25">
        <f t="shared" si="13"/>
        <v>5060</v>
      </c>
      <c r="S60" s="28"/>
      <c r="T60" s="28">
        <f t="shared" si="20"/>
        <v>2218941</v>
      </c>
      <c r="U60" s="28">
        <f t="shared" si="22"/>
        <v>2200001</v>
      </c>
      <c r="V60" s="28">
        <f t="shared" si="21"/>
        <v>324941</v>
      </c>
      <c r="W60" s="29">
        <v>2200000</v>
      </c>
      <c r="X60" t="s">
        <v>28</v>
      </c>
    </row>
    <row r="61" customHeight="1" spans="1:24">
      <c r="A61" s="9">
        <v>57</v>
      </c>
      <c r="B61" s="9" t="s">
        <v>69</v>
      </c>
      <c r="C61" s="9">
        <v>403</v>
      </c>
      <c r="D61" s="10">
        <v>2639000</v>
      </c>
      <c r="E61" s="11">
        <v>0</v>
      </c>
      <c r="F61" s="12">
        <f>25000+100000+100000+579855+557865</f>
        <v>1362720</v>
      </c>
      <c r="G61" s="12"/>
      <c r="H61" s="13">
        <f t="shared" si="17"/>
        <v>0</v>
      </c>
      <c r="I61" s="21">
        <v>631999</v>
      </c>
      <c r="J61" s="18"/>
      <c r="K61" s="18"/>
      <c r="L61" s="13">
        <f>225000+1229000</f>
        <v>1454000</v>
      </c>
      <c r="M61" s="13">
        <f t="shared" si="24"/>
        <v>14540</v>
      </c>
      <c r="N61" s="22">
        <f>540000</f>
        <v>540000</v>
      </c>
      <c r="O61" s="22">
        <f t="shared" si="23"/>
        <v>5400</v>
      </c>
      <c r="P61" s="25">
        <v>315000</v>
      </c>
      <c r="Q61" s="32">
        <v>445000</v>
      </c>
      <c r="R61" s="25">
        <f t="shared" si="13"/>
        <v>4450</v>
      </c>
      <c r="S61" s="28"/>
      <c r="T61" s="28">
        <f t="shared" si="20"/>
        <v>2328940</v>
      </c>
      <c r="U61" s="28">
        <f t="shared" si="22"/>
        <v>2309719</v>
      </c>
      <c r="V61" s="28">
        <f t="shared" si="21"/>
        <v>334221</v>
      </c>
      <c r="W61" s="29">
        <v>2309719</v>
      </c>
      <c r="X61" t="s">
        <v>28</v>
      </c>
    </row>
    <row r="62" customHeight="1" spans="1:24">
      <c r="A62" s="9">
        <v>58</v>
      </c>
      <c r="B62" s="9" t="s">
        <v>70</v>
      </c>
      <c r="C62" s="9">
        <v>404</v>
      </c>
      <c r="D62" s="10">
        <v>2800000</v>
      </c>
      <c r="E62" s="11">
        <v>0</v>
      </c>
      <c r="F62" s="12">
        <f>25000+200000</f>
        <v>225000</v>
      </c>
      <c r="G62" s="12"/>
      <c r="H62" s="13">
        <f t="shared" si="17"/>
        <v>0</v>
      </c>
      <c r="I62" s="21">
        <f>599100+660000+75000+600000</f>
        <v>1934100</v>
      </c>
      <c r="J62" s="21"/>
      <c r="K62" s="21"/>
      <c r="L62" s="22">
        <f>225000</f>
        <v>225000</v>
      </c>
      <c r="M62" s="22">
        <f t="shared" si="24"/>
        <v>2250</v>
      </c>
      <c r="N62" s="22">
        <f>660000+660000+600000</f>
        <v>1920000</v>
      </c>
      <c r="O62" s="22">
        <f t="shared" si="23"/>
        <v>19200</v>
      </c>
      <c r="P62" s="25">
        <v>400000</v>
      </c>
      <c r="Q62" s="32">
        <v>455000</v>
      </c>
      <c r="R62" s="25">
        <f t="shared" si="13"/>
        <v>4550</v>
      </c>
      <c r="S62" s="28"/>
      <c r="T62" s="28">
        <f t="shared" si="20"/>
        <v>2566450</v>
      </c>
      <c r="U62" s="28">
        <f t="shared" si="22"/>
        <v>2559100</v>
      </c>
      <c r="V62" s="28">
        <f t="shared" si="21"/>
        <v>407350</v>
      </c>
      <c r="W62" s="29">
        <v>2559100</v>
      </c>
      <c r="X62" t="s">
        <v>28</v>
      </c>
    </row>
    <row r="63" customHeight="1" spans="1:24">
      <c r="A63" s="9">
        <v>59</v>
      </c>
      <c r="B63" s="9" t="s">
        <v>71</v>
      </c>
      <c r="C63" s="9">
        <v>405</v>
      </c>
      <c r="D63" s="10">
        <v>2639000</v>
      </c>
      <c r="E63" s="11">
        <v>0</v>
      </c>
      <c r="F63" s="12">
        <f>25000+200000+380000+210000</f>
        <v>815000</v>
      </c>
      <c r="G63" s="12"/>
      <c r="H63" s="13">
        <f t="shared" si="17"/>
        <v>0</v>
      </c>
      <c r="I63" s="21">
        <f>339000+300000+540000</f>
        <v>1179000</v>
      </c>
      <c r="J63" s="18"/>
      <c r="K63" s="18"/>
      <c r="L63" s="13">
        <f>225000+590000</f>
        <v>815000</v>
      </c>
      <c r="M63" s="13">
        <f t="shared" si="24"/>
        <v>8150</v>
      </c>
      <c r="N63" s="22">
        <f>639000+540000</f>
        <v>1179000</v>
      </c>
      <c r="O63" s="22">
        <f t="shared" si="23"/>
        <v>11790</v>
      </c>
      <c r="P63" s="25">
        <f>445000+232208</f>
        <v>677208</v>
      </c>
      <c r="Q63" s="32">
        <f>445000+200000</f>
        <v>645000</v>
      </c>
      <c r="R63" s="25">
        <f t="shared" si="13"/>
        <v>6450</v>
      </c>
      <c r="S63" s="28"/>
      <c r="T63" s="28">
        <f t="shared" si="20"/>
        <v>2691148</v>
      </c>
      <c r="U63" s="28">
        <f t="shared" si="22"/>
        <v>2671208</v>
      </c>
      <c r="V63" s="28">
        <f t="shared" si="21"/>
        <v>697148</v>
      </c>
      <c r="W63" s="29">
        <v>2671208</v>
      </c>
      <c r="X63" t="s">
        <v>28</v>
      </c>
    </row>
    <row r="64" customHeight="1" spans="1:24">
      <c r="A64" s="9">
        <v>60</v>
      </c>
      <c r="B64" s="15" t="s">
        <v>72</v>
      </c>
      <c r="C64" s="9">
        <v>406</v>
      </c>
      <c r="D64" s="10">
        <v>2825000</v>
      </c>
      <c r="E64" s="11">
        <v>0</v>
      </c>
      <c r="F64" s="12">
        <f>25000+200000+225000+948375</f>
        <v>1398375</v>
      </c>
      <c r="G64" s="12"/>
      <c r="H64" s="13">
        <f t="shared" si="17"/>
        <v>0</v>
      </c>
      <c r="I64" s="21">
        <v>800000</v>
      </c>
      <c r="J64" s="18"/>
      <c r="K64" s="18"/>
      <c r="L64" s="13">
        <f>225000+380000+280000+660000</f>
        <v>1545000</v>
      </c>
      <c r="M64" s="13">
        <f t="shared" si="24"/>
        <v>15450</v>
      </c>
      <c r="N64" s="22">
        <v>585000</v>
      </c>
      <c r="O64" s="22">
        <f t="shared" si="23"/>
        <v>5850</v>
      </c>
      <c r="P64" s="25">
        <f>200000+189125</f>
        <v>389125</v>
      </c>
      <c r="Q64" s="32">
        <f>495000</f>
        <v>495000</v>
      </c>
      <c r="R64" s="25">
        <f t="shared" si="13"/>
        <v>4950</v>
      </c>
      <c r="S64" s="28"/>
      <c r="T64" s="28">
        <f t="shared" si="20"/>
        <v>2540425</v>
      </c>
      <c r="U64" s="28">
        <f t="shared" si="22"/>
        <v>2587500</v>
      </c>
      <c r="V64" s="28">
        <f t="shared" si="21"/>
        <v>342050</v>
      </c>
      <c r="W64" s="29">
        <v>2587500</v>
      </c>
      <c r="X64" t="s">
        <v>28</v>
      </c>
    </row>
    <row r="65" customHeight="1" spans="1:24">
      <c r="A65" s="9">
        <v>61</v>
      </c>
      <c r="B65" s="15" t="s">
        <v>73</v>
      </c>
      <c r="C65" s="9">
        <v>408</v>
      </c>
      <c r="D65" s="10"/>
      <c r="E65" s="11"/>
      <c r="F65" s="12"/>
      <c r="G65" s="12"/>
      <c r="H65" s="13">
        <f t="shared" si="17"/>
        <v>0</v>
      </c>
      <c r="I65" s="21">
        <v>0</v>
      </c>
      <c r="J65" s="18"/>
      <c r="K65" s="18"/>
      <c r="L65" s="13"/>
      <c r="M65" s="13"/>
      <c r="N65" s="22">
        <v>0</v>
      </c>
      <c r="O65" s="22">
        <v>0</v>
      </c>
      <c r="P65" s="25">
        <f>25000+514000+1014000+752000</f>
        <v>2305000</v>
      </c>
      <c r="Q65" s="32">
        <f>615000+938000+752000</f>
        <v>2305000</v>
      </c>
      <c r="R65" s="25">
        <f t="shared" si="13"/>
        <v>23050</v>
      </c>
      <c r="S65" s="28"/>
      <c r="T65" s="28">
        <f t="shared" si="20"/>
        <v>2305000</v>
      </c>
      <c r="U65" s="28">
        <f t="shared" ref="U65:U90" si="25">E65+F65+I65+P65</f>
        <v>2305000</v>
      </c>
      <c r="V65" s="28">
        <f t="shared" si="21"/>
        <v>2305000</v>
      </c>
      <c r="W65" s="29">
        <v>2305000</v>
      </c>
      <c r="X65" t="s">
        <v>28</v>
      </c>
    </row>
    <row r="66" customHeight="1" spans="1:24">
      <c r="A66" s="9">
        <v>62</v>
      </c>
      <c r="B66" s="15" t="s">
        <v>74</v>
      </c>
      <c r="C66" s="9">
        <v>410</v>
      </c>
      <c r="D66" s="10"/>
      <c r="E66" s="11"/>
      <c r="F66" s="12"/>
      <c r="G66" s="12"/>
      <c r="H66" s="13">
        <f t="shared" si="17"/>
        <v>0</v>
      </c>
      <c r="I66" s="21"/>
      <c r="J66" s="18"/>
      <c r="K66" s="18"/>
      <c r="L66" s="13"/>
      <c r="M66" s="13"/>
      <c r="N66" s="22"/>
      <c r="O66" s="22"/>
      <c r="P66" s="25">
        <f>25000</f>
        <v>25000</v>
      </c>
      <c r="Q66" s="32">
        <v>0</v>
      </c>
      <c r="R66" s="25">
        <v>0</v>
      </c>
      <c r="S66" s="28"/>
      <c r="T66" s="28">
        <v>0</v>
      </c>
      <c r="U66" s="28">
        <f t="shared" si="25"/>
        <v>25000</v>
      </c>
      <c r="V66" s="28"/>
      <c r="W66" s="29">
        <v>25000</v>
      </c>
      <c r="X66" t="s">
        <v>28</v>
      </c>
    </row>
    <row r="67" customHeight="1" spans="1:24">
      <c r="A67" s="9">
        <v>63</v>
      </c>
      <c r="B67" s="15" t="s">
        <v>75</v>
      </c>
      <c r="C67" s="9">
        <v>411</v>
      </c>
      <c r="D67" s="10">
        <v>3139000</v>
      </c>
      <c r="E67" s="11">
        <v>0</v>
      </c>
      <c r="F67" s="11"/>
      <c r="G67" s="11"/>
      <c r="H67" s="13">
        <f t="shared" si="17"/>
        <v>0</v>
      </c>
      <c r="I67" s="21">
        <v>25000</v>
      </c>
      <c r="J67" s="18"/>
      <c r="K67" s="18"/>
      <c r="L67" s="10">
        <v>0</v>
      </c>
      <c r="M67" s="10">
        <v>0</v>
      </c>
      <c r="N67" s="10">
        <v>0</v>
      </c>
      <c r="O67" s="10">
        <v>0</v>
      </c>
      <c r="P67" s="25">
        <f>591000+270000+668000+652000</f>
        <v>2181000</v>
      </c>
      <c r="Q67" s="32">
        <f>886000+1420000</f>
        <v>2306000</v>
      </c>
      <c r="R67" s="25">
        <f t="shared" ref="R67:R87" si="26">Q67*1%</f>
        <v>23060</v>
      </c>
      <c r="S67" s="28"/>
      <c r="T67" s="28">
        <f>SUM(J67:P67)</f>
        <v>2181000</v>
      </c>
      <c r="U67" s="28">
        <f t="shared" si="25"/>
        <v>2206000</v>
      </c>
      <c r="V67" s="28">
        <f t="shared" ref="V67:V74" si="27">T67-E67-F67-I67</f>
        <v>2156000</v>
      </c>
      <c r="W67" s="29">
        <v>2206000</v>
      </c>
      <c r="X67" t="s">
        <v>28</v>
      </c>
    </row>
    <row r="68" customHeight="1" spans="1:24">
      <c r="A68" s="9">
        <v>64</v>
      </c>
      <c r="B68" s="15" t="s">
        <v>76</v>
      </c>
      <c r="C68" s="9">
        <v>412</v>
      </c>
      <c r="D68" s="10">
        <v>2579000</v>
      </c>
      <c r="E68" s="11">
        <v>0</v>
      </c>
      <c r="F68" s="11"/>
      <c r="G68" s="11"/>
      <c r="H68" s="13">
        <f t="shared" si="17"/>
        <v>0</v>
      </c>
      <c r="I68" s="21">
        <f>25000+200000+60000+600000</f>
        <v>885000</v>
      </c>
      <c r="J68" s="18"/>
      <c r="K68" s="18"/>
      <c r="L68" s="10"/>
      <c r="M68" s="10"/>
      <c r="N68" s="22">
        <v>885000</v>
      </c>
      <c r="O68" s="22">
        <f>N68*1%</f>
        <v>8850</v>
      </c>
      <c r="P68" s="25">
        <f>94000+561323.56+552000+222100</f>
        <v>1429423.56</v>
      </c>
      <c r="Q68" s="32">
        <f>568000+552000+374000</f>
        <v>1494000</v>
      </c>
      <c r="R68" s="25">
        <f t="shared" si="26"/>
        <v>14940</v>
      </c>
      <c r="S68" s="28"/>
      <c r="T68" s="28">
        <f>SUM(J68:P68)</f>
        <v>2323273.56</v>
      </c>
      <c r="U68" s="28">
        <f t="shared" si="25"/>
        <v>2314423.56</v>
      </c>
      <c r="V68" s="28">
        <f t="shared" si="27"/>
        <v>1438273.56</v>
      </c>
      <c r="W68" s="29">
        <v>2314424</v>
      </c>
      <c r="X68" t="s">
        <v>28</v>
      </c>
    </row>
    <row r="69" customHeight="1" spans="1:24">
      <c r="A69" s="9">
        <v>65</v>
      </c>
      <c r="B69" s="15" t="s">
        <v>77</v>
      </c>
      <c r="C69" s="9">
        <v>414</v>
      </c>
      <c r="D69" s="10">
        <v>3159000</v>
      </c>
      <c r="E69" s="11">
        <v>0</v>
      </c>
      <c r="F69" s="11"/>
      <c r="G69" s="11"/>
      <c r="H69" s="13">
        <f t="shared" si="17"/>
        <v>0</v>
      </c>
      <c r="I69" s="21">
        <f>25000+411000+200000+280000</f>
        <v>916000</v>
      </c>
      <c r="J69" s="21"/>
      <c r="K69" s="21"/>
      <c r="L69" s="22"/>
      <c r="M69" s="22"/>
      <c r="N69" s="22">
        <v>917000</v>
      </c>
      <c r="O69" s="22">
        <f>N69*1%</f>
        <v>9170</v>
      </c>
      <c r="P69" s="25">
        <f>200000+400000+250000+252000</f>
        <v>1102000</v>
      </c>
      <c r="Q69" s="32">
        <f>633000+468000</f>
        <v>1101000</v>
      </c>
      <c r="R69" s="25">
        <f t="shared" si="26"/>
        <v>11010</v>
      </c>
      <c r="S69" s="28"/>
      <c r="T69" s="28">
        <f>SUM(J69:P69)</f>
        <v>2028170</v>
      </c>
      <c r="U69" s="28">
        <f t="shared" si="25"/>
        <v>2018000</v>
      </c>
      <c r="V69" s="28">
        <f t="shared" si="27"/>
        <v>1112170</v>
      </c>
      <c r="W69" s="29">
        <v>2018000</v>
      </c>
      <c r="X69" s="33">
        <f>U69-W69</f>
        <v>0</v>
      </c>
    </row>
    <row r="70" customHeight="1" spans="1:24">
      <c r="A70" s="9">
        <v>66</v>
      </c>
      <c r="B70" s="15" t="s">
        <v>78</v>
      </c>
      <c r="C70" s="9">
        <v>416</v>
      </c>
      <c r="D70" s="10"/>
      <c r="E70" s="11"/>
      <c r="F70" s="11"/>
      <c r="G70" s="11"/>
      <c r="H70" s="13">
        <f t="shared" ref="H70:H99" si="28">G70*1%</f>
        <v>0</v>
      </c>
      <c r="I70" s="21">
        <v>25000</v>
      </c>
      <c r="J70" s="21"/>
      <c r="K70" s="21"/>
      <c r="L70" s="22"/>
      <c r="M70" s="22"/>
      <c r="N70" s="22" t="s">
        <v>79</v>
      </c>
      <c r="O70" s="22">
        <v>0</v>
      </c>
      <c r="P70" s="25">
        <f>860000+668000+752000+634000</f>
        <v>2914000</v>
      </c>
      <c r="Q70" s="32">
        <f>885000+668000+753000+633000</f>
        <v>2939000</v>
      </c>
      <c r="R70" s="25">
        <f t="shared" si="26"/>
        <v>29390</v>
      </c>
      <c r="S70" s="28"/>
      <c r="T70" s="28"/>
      <c r="U70" s="28">
        <f t="shared" si="25"/>
        <v>2939000</v>
      </c>
      <c r="V70" s="28"/>
      <c r="W70" s="29">
        <v>2939000</v>
      </c>
      <c r="X70" t="s">
        <v>28</v>
      </c>
    </row>
    <row r="71" customHeight="1" spans="1:24">
      <c r="A71" s="9">
        <v>67</v>
      </c>
      <c r="B71" s="9" t="s">
        <v>80</v>
      </c>
      <c r="C71" s="9">
        <v>418</v>
      </c>
      <c r="D71" s="10">
        <v>2639000</v>
      </c>
      <c r="E71" s="11">
        <v>0</v>
      </c>
      <c r="F71" s="12">
        <f>25000+200000+114000+476000</f>
        <v>815000</v>
      </c>
      <c r="G71" s="12"/>
      <c r="H71" s="13">
        <f t="shared" si="28"/>
        <v>0</v>
      </c>
      <c r="I71" s="21">
        <v>639000</v>
      </c>
      <c r="J71" s="18"/>
      <c r="K71" s="18"/>
      <c r="L71" s="13">
        <f>225000+650000</f>
        <v>875000</v>
      </c>
      <c r="M71" s="13">
        <f t="shared" ref="M71:M73" si="29">L71*1%</f>
        <v>8750</v>
      </c>
      <c r="N71" s="22">
        <v>579000</v>
      </c>
      <c r="O71" s="22">
        <f t="shared" ref="O71:O79" si="30">N71*1%</f>
        <v>5790</v>
      </c>
      <c r="P71" s="25">
        <f>540000</f>
        <v>540000</v>
      </c>
      <c r="Q71" s="32">
        <f>540000+445000+200000</f>
        <v>1185000</v>
      </c>
      <c r="R71" s="25">
        <f t="shared" si="26"/>
        <v>11850</v>
      </c>
      <c r="S71" s="28"/>
      <c r="T71" s="28">
        <f t="shared" ref="T71:T79" si="31">SUM(J71:P71)</f>
        <v>2008540</v>
      </c>
      <c r="U71" s="28">
        <f t="shared" si="25"/>
        <v>1994000</v>
      </c>
      <c r="V71" s="28">
        <f t="shared" ref="V71:V79" si="32">T71-E71-F71-I71</f>
        <v>554540</v>
      </c>
      <c r="W71" s="29">
        <v>1994000</v>
      </c>
      <c r="X71" t="s">
        <v>28</v>
      </c>
    </row>
    <row r="72" customHeight="1" spans="1:24">
      <c r="A72" s="9">
        <v>68</v>
      </c>
      <c r="B72" s="9" t="s">
        <v>81</v>
      </c>
      <c r="C72" s="9">
        <v>420</v>
      </c>
      <c r="D72" s="10">
        <v>2639000</v>
      </c>
      <c r="E72" s="11">
        <v>0</v>
      </c>
      <c r="F72" s="12">
        <f>25000+175000+100000+100000+750634+200000</f>
        <v>1350634</v>
      </c>
      <c r="G72" s="12"/>
      <c r="H72" s="13">
        <f t="shared" si="28"/>
        <v>0</v>
      </c>
      <c r="I72" s="21">
        <v>645000</v>
      </c>
      <c r="J72" s="18"/>
      <c r="K72" s="18"/>
      <c r="L72" s="13">
        <v>1454000</v>
      </c>
      <c r="M72" s="13">
        <f t="shared" si="29"/>
        <v>14540</v>
      </c>
      <c r="N72" s="22">
        <v>540000</v>
      </c>
      <c r="O72" s="22">
        <f t="shared" si="30"/>
        <v>5400</v>
      </c>
      <c r="P72" s="25">
        <f>210827</f>
        <v>210827</v>
      </c>
      <c r="Q72" s="32">
        <f>420000</f>
        <v>420000</v>
      </c>
      <c r="R72" s="25">
        <f t="shared" si="26"/>
        <v>4200</v>
      </c>
      <c r="S72" s="28"/>
      <c r="T72" s="28">
        <f t="shared" si="31"/>
        <v>2224767</v>
      </c>
      <c r="U72" s="28">
        <f t="shared" si="25"/>
        <v>2206461</v>
      </c>
      <c r="V72" s="28">
        <f t="shared" si="32"/>
        <v>229133</v>
      </c>
      <c r="W72" s="29">
        <v>2206461</v>
      </c>
      <c r="X72" t="s">
        <v>28</v>
      </c>
    </row>
    <row r="73" customHeight="1" spans="1:24">
      <c r="A73" s="9">
        <v>69</v>
      </c>
      <c r="B73" s="9" t="s">
        <v>82</v>
      </c>
      <c r="C73" s="9">
        <v>421</v>
      </c>
      <c r="D73" s="10">
        <v>2639000</v>
      </c>
      <c r="E73" s="11">
        <v>0</v>
      </c>
      <c r="F73" s="12">
        <f>25000+200000+500000+100000</f>
        <v>825000</v>
      </c>
      <c r="G73" s="12"/>
      <c r="H73" s="13">
        <f t="shared" si="28"/>
        <v>0</v>
      </c>
      <c r="I73" s="21">
        <f>500000+550000+150000</f>
        <v>1200000</v>
      </c>
      <c r="J73" s="21"/>
      <c r="K73" s="21"/>
      <c r="L73" s="22">
        <v>1454000</v>
      </c>
      <c r="M73" s="22">
        <f t="shared" si="29"/>
        <v>14540</v>
      </c>
      <c r="N73" s="22">
        <v>540000</v>
      </c>
      <c r="O73" s="22">
        <f t="shared" si="30"/>
        <v>5400</v>
      </c>
      <c r="P73" s="25">
        <f>460000</f>
        <v>460000</v>
      </c>
      <c r="Q73" s="32">
        <f>445000+200000</f>
        <v>645000</v>
      </c>
      <c r="R73" s="25">
        <f t="shared" si="26"/>
        <v>6450</v>
      </c>
      <c r="S73" s="28"/>
      <c r="T73" s="28">
        <f t="shared" si="31"/>
        <v>2473940</v>
      </c>
      <c r="U73" s="28">
        <f t="shared" si="25"/>
        <v>2485000</v>
      </c>
      <c r="V73" s="28">
        <f t="shared" si="32"/>
        <v>448940</v>
      </c>
      <c r="W73" s="29">
        <v>2485000</v>
      </c>
      <c r="X73" t="s">
        <v>28</v>
      </c>
    </row>
    <row r="74" customHeight="1" spans="1:24">
      <c r="A74" s="9">
        <v>70</v>
      </c>
      <c r="B74" s="9" t="s">
        <v>83</v>
      </c>
      <c r="C74" s="9">
        <v>422</v>
      </c>
      <c r="D74" s="10">
        <v>3000000</v>
      </c>
      <c r="E74" s="11">
        <v>0</v>
      </c>
      <c r="F74" s="11"/>
      <c r="G74" s="11"/>
      <c r="H74" s="13">
        <f t="shared" si="28"/>
        <v>0</v>
      </c>
      <c r="I74" s="21">
        <f>2488000</f>
        <v>2488000</v>
      </c>
      <c r="J74" s="21"/>
      <c r="K74" s="21"/>
      <c r="L74" s="22"/>
      <c r="M74" s="22"/>
      <c r="N74" s="22">
        <f>225000+390000+773000+938000</f>
        <v>2326000</v>
      </c>
      <c r="O74" s="22">
        <f t="shared" si="30"/>
        <v>23260</v>
      </c>
      <c r="P74" s="25">
        <f>512000</f>
        <v>512000</v>
      </c>
      <c r="Q74" s="32">
        <f>474000+200000</f>
        <v>674000</v>
      </c>
      <c r="R74" s="25">
        <f t="shared" si="26"/>
        <v>6740</v>
      </c>
      <c r="S74" s="32">
        <v>5428</v>
      </c>
      <c r="T74" s="28">
        <f t="shared" si="31"/>
        <v>2861260</v>
      </c>
      <c r="U74" s="28">
        <f t="shared" si="25"/>
        <v>3000000</v>
      </c>
      <c r="V74" s="28">
        <f t="shared" si="32"/>
        <v>373260</v>
      </c>
      <c r="W74" s="29">
        <v>3000000</v>
      </c>
      <c r="X74" t="s">
        <v>28</v>
      </c>
    </row>
    <row r="75" customHeight="1" spans="1:24">
      <c r="A75" s="9">
        <v>71</v>
      </c>
      <c r="B75" s="9" t="s">
        <v>84</v>
      </c>
      <c r="C75" s="9">
        <v>501</v>
      </c>
      <c r="D75" s="10">
        <v>2540000</v>
      </c>
      <c r="E75" s="11">
        <v>0</v>
      </c>
      <c r="F75" s="12">
        <f>25000+100000+50000+115000+526000+499000</f>
        <v>1315000</v>
      </c>
      <c r="G75" s="12"/>
      <c r="H75" s="13">
        <f t="shared" si="28"/>
        <v>0</v>
      </c>
      <c r="I75" s="21">
        <f>690000</f>
        <v>690000</v>
      </c>
      <c r="J75" s="21"/>
      <c r="K75" s="21"/>
      <c r="L75" s="22">
        <f>225000+1258000</f>
        <v>1483000</v>
      </c>
      <c r="M75" s="22">
        <f>L75*1%</f>
        <v>14830</v>
      </c>
      <c r="N75" s="22">
        <f>520000</f>
        <v>520000</v>
      </c>
      <c r="O75" s="22">
        <f t="shared" si="30"/>
        <v>5200</v>
      </c>
      <c r="P75" s="25">
        <f>160000+150000</f>
        <v>310000</v>
      </c>
      <c r="Q75" s="32">
        <f>337000+200000</f>
        <v>537000</v>
      </c>
      <c r="R75" s="25">
        <f t="shared" si="26"/>
        <v>5370</v>
      </c>
      <c r="S75" s="28"/>
      <c r="T75" s="28">
        <f t="shared" si="31"/>
        <v>2333030</v>
      </c>
      <c r="U75" s="28">
        <f t="shared" si="25"/>
        <v>2315000</v>
      </c>
      <c r="V75" s="28">
        <f t="shared" si="32"/>
        <v>328030</v>
      </c>
      <c r="W75" s="29">
        <v>2315000</v>
      </c>
      <c r="X75" t="s">
        <v>28</v>
      </c>
    </row>
    <row r="76" customHeight="1" spans="1:24">
      <c r="A76" s="9">
        <v>72</v>
      </c>
      <c r="B76" s="9" t="s">
        <v>85</v>
      </c>
      <c r="C76" s="9">
        <v>502</v>
      </c>
      <c r="D76" s="10">
        <v>2639000</v>
      </c>
      <c r="E76" s="11">
        <v>0</v>
      </c>
      <c r="F76" s="12">
        <f>25000+200000+65000+525000+505500</f>
        <v>1320500</v>
      </c>
      <c r="G76" s="12"/>
      <c r="H76" s="13">
        <f t="shared" si="28"/>
        <v>0</v>
      </c>
      <c r="I76" s="21">
        <v>674000</v>
      </c>
      <c r="J76" s="21"/>
      <c r="K76" s="21"/>
      <c r="L76" s="22">
        <f>225000+1229000</f>
        <v>1454000</v>
      </c>
      <c r="M76" s="22">
        <f>L76*1%</f>
        <v>14540</v>
      </c>
      <c r="N76" s="22">
        <f>540000</f>
        <v>540000</v>
      </c>
      <c r="O76" s="22">
        <f t="shared" si="30"/>
        <v>5400</v>
      </c>
      <c r="P76" s="25">
        <f>249650</f>
        <v>249650</v>
      </c>
      <c r="Q76" s="32">
        <f>445000+200000</f>
        <v>645000</v>
      </c>
      <c r="R76" s="25">
        <f t="shared" si="26"/>
        <v>6450</v>
      </c>
      <c r="S76" s="28"/>
      <c r="T76" s="28">
        <f t="shared" si="31"/>
        <v>2263590</v>
      </c>
      <c r="U76" s="28">
        <f t="shared" si="25"/>
        <v>2244150</v>
      </c>
      <c r="V76" s="28">
        <f t="shared" si="32"/>
        <v>269090</v>
      </c>
      <c r="W76" s="29">
        <v>2244150</v>
      </c>
      <c r="X76" t="s">
        <v>28</v>
      </c>
    </row>
    <row r="77" customHeight="1" spans="1:24">
      <c r="A77" s="9">
        <v>73</v>
      </c>
      <c r="B77" s="9" t="s">
        <v>86</v>
      </c>
      <c r="C77" s="9">
        <v>503</v>
      </c>
      <c r="D77" s="10">
        <v>3000000</v>
      </c>
      <c r="E77" s="11">
        <v>0</v>
      </c>
      <c r="F77" s="11"/>
      <c r="G77" s="11"/>
      <c r="H77" s="13">
        <f t="shared" si="28"/>
        <v>0</v>
      </c>
      <c r="I77" s="21">
        <f>100000+1836000+100000+100000+190000</f>
        <v>2326000</v>
      </c>
      <c r="J77" s="21"/>
      <c r="K77" s="21"/>
      <c r="L77" s="22"/>
      <c r="M77" s="22"/>
      <c r="N77" s="22">
        <f>773000+1553000</f>
        <v>2326000</v>
      </c>
      <c r="O77" s="22">
        <f t="shared" si="30"/>
        <v>23260</v>
      </c>
      <c r="P77" s="25">
        <f>474000</f>
        <v>474000</v>
      </c>
      <c r="Q77" s="32">
        <f>474000+200000</f>
        <v>674000</v>
      </c>
      <c r="R77" s="25">
        <f t="shared" si="26"/>
        <v>6740</v>
      </c>
      <c r="S77" s="28"/>
      <c r="T77" s="28">
        <f t="shared" si="31"/>
        <v>2823260</v>
      </c>
      <c r="U77" s="28">
        <f t="shared" si="25"/>
        <v>2800000</v>
      </c>
      <c r="V77" s="28">
        <f t="shared" si="32"/>
        <v>497260</v>
      </c>
      <c r="W77" s="29">
        <v>2800000</v>
      </c>
      <c r="X77" t="s">
        <v>28</v>
      </c>
    </row>
    <row r="78" customHeight="1" spans="1:24">
      <c r="A78" s="9">
        <v>74</v>
      </c>
      <c r="B78" s="9" t="s">
        <v>87</v>
      </c>
      <c r="C78" s="9">
        <v>504</v>
      </c>
      <c r="D78" s="10">
        <v>2639000</v>
      </c>
      <c r="E78" s="11">
        <v>0</v>
      </c>
      <c r="F78" s="12">
        <f>25000+200000+380000+210000</f>
        <v>815000</v>
      </c>
      <c r="G78" s="12"/>
      <c r="H78" s="13">
        <f t="shared" si="28"/>
        <v>0</v>
      </c>
      <c r="I78" s="21">
        <f>89000+150000+150000+240000+200000+200000+150000</f>
        <v>1179000</v>
      </c>
      <c r="J78" s="21"/>
      <c r="K78" s="21"/>
      <c r="L78" s="22">
        <f>225000+590000</f>
        <v>815000</v>
      </c>
      <c r="M78" s="22">
        <f>L78*1%</f>
        <v>8150</v>
      </c>
      <c r="N78" s="22">
        <f>639000+540000</f>
        <v>1179000</v>
      </c>
      <c r="O78" s="22">
        <f t="shared" si="30"/>
        <v>11790</v>
      </c>
      <c r="P78" s="25">
        <f>220000+125000+100000</f>
        <v>445000</v>
      </c>
      <c r="Q78" s="32">
        <f>445000+200000</f>
        <v>645000</v>
      </c>
      <c r="R78" s="25">
        <f t="shared" si="26"/>
        <v>6450</v>
      </c>
      <c r="S78" s="28"/>
      <c r="T78" s="28">
        <f t="shared" si="31"/>
        <v>2458940</v>
      </c>
      <c r="U78" s="28">
        <f t="shared" si="25"/>
        <v>2439000</v>
      </c>
      <c r="V78" s="28">
        <f t="shared" si="32"/>
        <v>464940</v>
      </c>
      <c r="W78" s="29">
        <v>2439000</v>
      </c>
      <c r="X78" s="33">
        <f>U78-W78</f>
        <v>0</v>
      </c>
    </row>
    <row r="79" customHeight="1" spans="1:24">
      <c r="A79" s="9">
        <v>75</v>
      </c>
      <c r="B79" s="9" t="s">
        <v>88</v>
      </c>
      <c r="C79" s="9">
        <v>506</v>
      </c>
      <c r="D79" s="10">
        <v>2639000</v>
      </c>
      <c r="E79" s="11">
        <v>0</v>
      </c>
      <c r="F79" s="12">
        <f>25000+200000+114000+476000</f>
        <v>815000</v>
      </c>
      <c r="G79" s="12"/>
      <c r="H79" s="13">
        <f t="shared" si="28"/>
        <v>0</v>
      </c>
      <c r="I79" s="21">
        <v>639000</v>
      </c>
      <c r="J79" s="21"/>
      <c r="K79" s="21"/>
      <c r="L79" s="22">
        <f>225000+590000</f>
        <v>815000</v>
      </c>
      <c r="M79" s="22">
        <f>L79*1%</f>
        <v>8150</v>
      </c>
      <c r="N79" s="22">
        <v>639000</v>
      </c>
      <c r="O79" s="22">
        <f t="shared" si="30"/>
        <v>6390</v>
      </c>
      <c r="P79" s="25">
        <f>540000</f>
        <v>540000</v>
      </c>
      <c r="Q79" s="32">
        <f>985000+200000</f>
        <v>1185000</v>
      </c>
      <c r="R79" s="25">
        <f t="shared" si="26"/>
        <v>11850</v>
      </c>
      <c r="S79" s="28"/>
      <c r="T79" s="28">
        <f t="shared" si="31"/>
        <v>2008540</v>
      </c>
      <c r="U79" s="28">
        <f t="shared" si="25"/>
        <v>1994000</v>
      </c>
      <c r="V79" s="28">
        <f t="shared" si="32"/>
        <v>554540</v>
      </c>
      <c r="W79" s="29">
        <v>1994000</v>
      </c>
      <c r="X79" t="s">
        <v>28</v>
      </c>
    </row>
    <row r="80" customHeight="1" spans="1:24">
      <c r="A80" s="9">
        <v>76</v>
      </c>
      <c r="B80" s="9" t="s">
        <v>89</v>
      </c>
      <c r="C80" s="9">
        <v>508</v>
      </c>
      <c r="D80" s="10"/>
      <c r="E80" s="11"/>
      <c r="F80" s="12"/>
      <c r="G80" s="12"/>
      <c r="H80" s="13">
        <f t="shared" si="28"/>
        <v>0</v>
      </c>
      <c r="I80" s="21"/>
      <c r="J80" s="21"/>
      <c r="K80" s="21"/>
      <c r="L80" s="22"/>
      <c r="M80" s="22"/>
      <c r="N80" s="22"/>
      <c r="O80" s="22"/>
      <c r="P80" s="25">
        <f>25000+2200000</f>
        <v>2225000</v>
      </c>
      <c r="Q80" s="32">
        <f>225000+1975000</f>
        <v>2200000</v>
      </c>
      <c r="R80" s="25">
        <f t="shared" si="26"/>
        <v>22000</v>
      </c>
      <c r="S80" s="28">
        <v>5428</v>
      </c>
      <c r="T80" s="28"/>
      <c r="U80" s="28">
        <f t="shared" si="25"/>
        <v>2225000</v>
      </c>
      <c r="V80" s="28"/>
      <c r="W80" s="29">
        <v>2200000</v>
      </c>
      <c r="X80" s="33">
        <f>U80-W80</f>
        <v>25000</v>
      </c>
    </row>
    <row r="81" customHeight="1" spans="1:24">
      <c r="A81" s="9">
        <v>77</v>
      </c>
      <c r="B81" s="9" t="s">
        <v>90</v>
      </c>
      <c r="C81" s="9">
        <v>510</v>
      </c>
      <c r="D81" s="10"/>
      <c r="E81" s="11"/>
      <c r="F81" s="12"/>
      <c r="G81" s="12"/>
      <c r="H81" s="13">
        <f t="shared" si="28"/>
        <v>0</v>
      </c>
      <c r="I81" s="21"/>
      <c r="J81" s="21"/>
      <c r="K81" s="21"/>
      <c r="L81" s="22"/>
      <c r="M81" s="22"/>
      <c r="N81" s="22"/>
      <c r="O81" s="22"/>
      <c r="P81" s="25">
        <v>25061.75</v>
      </c>
      <c r="Q81" s="32"/>
      <c r="R81" s="25"/>
      <c r="S81" s="28"/>
      <c r="T81" s="28"/>
      <c r="U81" s="28">
        <f t="shared" si="25"/>
        <v>25061.75</v>
      </c>
      <c r="V81" s="28"/>
      <c r="W81" s="29"/>
      <c r="X81">
        <v>25062</v>
      </c>
    </row>
    <row r="82" customHeight="1" spans="1:24">
      <c r="A82" s="9">
        <v>78</v>
      </c>
      <c r="B82" s="9" t="s">
        <v>91</v>
      </c>
      <c r="C82" s="9">
        <v>511</v>
      </c>
      <c r="D82" s="10">
        <v>310000</v>
      </c>
      <c r="E82" s="11">
        <v>0</v>
      </c>
      <c r="F82" s="11"/>
      <c r="G82" s="11"/>
      <c r="H82" s="13">
        <f t="shared" si="28"/>
        <v>0</v>
      </c>
      <c r="I82" s="21">
        <f>25000+290000+300000+270000</f>
        <v>885000</v>
      </c>
      <c r="J82" s="18"/>
      <c r="K82" s="18"/>
      <c r="L82" s="10"/>
      <c r="M82" s="10"/>
      <c r="N82" s="22">
        <f>390000+270000+225000</f>
        <v>885000</v>
      </c>
      <c r="O82" s="22">
        <f>N82*1%</f>
        <v>8850</v>
      </c>
      <c r="P82" s="25">
        <f>667023.83+500000+100000</f>
        <v>1267023.83</v>
      </c>
      <c r="Q82" s="32">
        <f>668000+773000</f>
        <v>1441000</v>
      </c>
      <c r="R82" s="25">
        <f t="shared" ref="R82:R90" si="33">Q82*1%</f>
        <v>14410</v>
      </c>
      <c r="S82" s="28"/>
      <c r="T82" s="28">
        <f>SUM(J82:P82)</f>
        <v>2160873.83</v>
      </c>
      <c r="U82" s="28">
        <f t="shared" si="25"/>
        <v>2152023.83</v>
      </c>
      <c r="V82" s="28">
        <f>T82-E82-F82-I82</f>
        <v>1275873.83</v>
      </c>
      <c r="W82" s="29">
        <v>2152023</v>
      </c>
      <c r="X82" t="s">
        <v>28</v>
      </c>
    </row>
    <row r="83" customHeight="1" spans="1:24">
      <c r="A83" s="9">
        <v>79</v>
      </c>
      <c r="B83" s="9" t="s">
        <v>92</v>
      </c>
      <c r="C83" s="9">
        <v>512</v>
      </c>
      <c r="D83" s="10">
        <v>2719000</v>
      </c>
      <c r="E83" s="11">
        <v>0</v>
      </c>
      <c r="F83" s="12">
        <f>25000+200000+390000</f>
        <v>615000</v>
      </c>
      <c r="G83" s="12"/>
      <c r="H83" s="13">
        <f t="shared" si="28"/>
        <v>0</v>
      </c>
      <c r="I83" s="21">
        <v>270000</v>
      </c>
      <c r="J83" s="18"/>
      <c r="K83" s="18"/>
      <c r="L83" s="13">
        <f>225000+390000</f>
        <v>615000</v>
      </c>
      <c r="M83" s="13">
        <f>L83*1%</f>
        <v>6150</v>
      </c>
      <c r="N83" s="22">
        <f>270000</f>
        <v>270000</v>
      </c>
      <c r="O83" s="22">
        <f>N83*1%</f>
        <v>2700</v>
      </c>
      <c r="P83" s="25">
        <f>659000+560000</f>
        <v>1219000</v>
      </c>
      <c r="Q83" s="32">
        <f>619000+560000</f>
        <v>1179000</v>
      </c>
      <c r="R83" s="25">
        <f t="shared" si="33"/>
        <v>11790</v>
      </c>
      <c r="S83" s="28"/>
      <c r="T83" s="28">
        <f>SUM(J83:P83)</f>
        <v>2112850</v>
      </c>
      <c r="U83" s="28">
        <f t="shared" si="25"/>
        <v>2104000</v>
      </c>
      <c r="V83" s="28">
        <f>T83-E83-F83-I83</f>
        <v>1227850</v>
      </c>
      <c r="W83" s="29">
        <v>2104000</v>
      </c>
      <c r="X83" t="s">
        <v>28</v>
      </c>
    </row>
    <row r="84" customHeight="1" spans="1:24">
      <c r="A84" s="9">
        <v>80</v>
      </c>
      <c r="B84" s="9" t="s">
        <v>93</v>
      </c>
      <c r="C84" s="9">
        <v>513</v>
      </c>
      <c r="D84" s="10">
        <v>2719000</v>
      </c>
      <c r="E84" s="11">
        <v>0</v>
      </c>
      <c r="F84" s="12">
        <v>615000</v>
      </c>
      <c r="G84" s="12"/>
      <c r="H84" s="13">
        <f t="shared" si="28"/>
        <v>0</v>
      </c>
      <c r="I84" s="21">
        <v>270000</v>
      </c>
      <c r="J84" s="21"/>
      <c r="K84" s="21"/>
      <c r="L84" s="22">
        <f>225000+390000</f>
        <v>615000</v>
      </c>
      <c r="M84" s="22">
        <f>L84*1%</f>
        <v>6150</v>
      </c>
      <c r="N84" s="22">
        <f>270000</f>
        <v>270000</v>
      </c>
      <c r="O84" s="22">
        <f>N84*1%</f>
        <v>2700</v>
      </c>
      <c r="P84" s="25">
        <f>659000+560000</f>
        <v>1219000</v>
      </c>
      <c r="Q84" s="32">
        <f>619000+560000</f>
        <v>1179000</v>
      </c>
      <c r="R84" s="25">
        <f t="shared" si="33"/>
        <v>11790</v>
      </c>
      <c r="S84" s="28"/>
      <c r="T84" s="28">
        <f>SUM(J84:P84)</f>
        <v>2112850</v>
      </c>
      <c r="U84" s="28">
        <f t="shared" si="25"/>
        <v>2104000</v>
      </c>
      <c r="V84" s="28">
        <f>T84-E84-F84-I84</f>
        <v>1227850</v>
      </c>
      <c r="W84" s="29">
        <v>2104000</v>
      </c>
      <c r="X84" t="s">
        <v>28</v>
      </c>
    </row>
    <row r="85" customHeight="1" spans="1:24">
      <c r="A85" s="9">
        <v>81</v>
      </c>
      <c r="B85" s="9" t="s">
        <v>94</v>
      </c>
      <c r="C85" s="9">
        <v>514</v>
      </c>
      <c r="D85" s="10"/>
      <c r="E85" s="11"/>
      <c r="F85" s="12"/>
      <c r="G85" s="12"/>
      <c r="H85" s="13">
        <f t="shared" si="28"/>
        <v>0</v>
      </c>
      <c r="I85" s="21"/>
      <c r="J85" s="21"/>
      <c r="K85" s="21"/>
      <c r="L85" s="22"/>
      <c r="M85" s="22"/>
      <c r="N85" s="22"/>
      <c r="O85" s="22"/>
      <c r="P85" s="25">
        <f>25000+981000+668000+752000</f>
        <v>2426000</v>
      </c>
      <c r="Q85" s="32">
        <f>1674000+752000</f>
        <v>2426000</v>
      </c>
      <c r="R85" s="25">
        <f t="shared" si="33"/>
        <v>24260</v>
      </c>
      <c r="S85" s="28"/>
      <c r="T85" s="28"/>
      <c r="U85" s="28">
        <f t="shared" si="25"/>
        <v>2426000</v>
      </c>
      <c r="V85" s="28"/>
      <c r="W85" s="29">
        <v>2426000</v>
      </c>
      <c r="X85" t="s">
        <v>28</v>
      </c>
    </row>
    <row r="86" customHeight="1" spans="1:24">
      <c r="A86" s="9">
        <v>82</v>
      </c>
      <c r="B86" s="9" t="s">
        <v>95</v>
      </c>
      <c r="C86" s="9">
        <v>516</v>
      </c>
      <c r="D86" s="10">
        <v>3139000</v>
      </c>
      <c r="E86" s="11">
        <v>0</v>
      </c>
      <c r="F86" s="11"/>
      <c r="G86" s="11"/>
      <c r="H86" s="13">
        <f t="shared" si="28"/>
        <v>0</v>
      </c>
      <c r="I86" s="21">
        <f>25000+50000+50000+50000+50000</f>
        <v>225000</v>
      </c>
      <c r="J86" s="18"/>
      <c r="K86" s="18"/>
      <c r="L86" s="10"/>
      <c r="M86" s="10"/>
      <c r="N86" s="22">
        <v>225000</v>
      </c>
      <c r="O86" s="22">
        <f>N86*1%</f>
        <v>2250</v>
      </c>
      <c r="P86" s="25">
        <f>472000+50000+50000+42000+1700000+342000</f>
        <v>2656000</v>
      </c>
      <c r="Q86" s="32">
        <f>472000+900000+675000+667000</f>
        <v>2714000</v>
      </c>
      <c r="R86" s="25">
        <f t="shared" si="33"/>
        <v>27140</v>
      </c>
      <c r="S86" s="28"/>
      <c r="T86" s="28">
        <f>SUM(J86:P86)</f>
        <v>2883250</v>
      </c>
      <c r="U86" s="28">
        <f t="shared" si="25"/>
        <v>2881000</v>
      </c>
      <c r="V86" s="28">
        <f>T86-E86-F86-I86</f>
        <v>2658250</v>
      </c>
      <c r="W86" s="29">
        <v>2881000</v>
      </c>
      <c r="X86" s="33">
        <f>U86-W86</f>
        <v>0</v>
      </c>
    </row>
    <row r="87" customHeight="1" spans="1:24">
      <c r="A87" s="9">
        <v>83</v>
      </c>
      <c r="B87" s="9" t="s">
        <v>96</v>
      </c>
      <c r="C87" s="9">
        <v>518</v>
      </c>
      <c r="D87" s="10">
        <v>2639000</v>
      </c>
      <c r="E87" s="11">
        <v>0</v>
      </c>
      <c r="F87" s="12">
        <f>25000+200000+114000+476000</f>
        <v>815000</v>
      </c>
      <c r="G87" s="12"/>
      <c r="H87" s="13">
        <f t="shared" si="28"/>
        <v>0</v>
      </c>
      <c r="I87" s="21">
        <v>639000</v>
      </c>
      <c r="J87" s="21"/>
      <c r="K87" s="21"/>
      <c r="L87" s="22">
        <f>225000+590000</f>
        <v>815000</v>
      </c>
      <c r="M87" s="22">
        <f t="shared" ref="M87:M90" si="34">L87*1%</f>
        <v>8150</v>
      </c>
      <c r="N87" s="22">
        <v>639000</v>
      </c>
      <c r="O87" s="22">
        <f>N87*1%</f>
        <v>6390</v>
      </c>
      <c r="P87" s="25">
        <f>790000</f>
        <v>790000</v>
      </c>
      <c r="Q87" s="32">
        <f>540000+445000+200000</f>
        <v>1185000</v>
      </c>
      <c r="R87" s="25">
        <f t="shared" si="33"/>
        <v>11850</v>
      </c>
      <c r="S87" s="28"/>
      <c r="T87" s="28">
        <f>SUM(J87:P87)</f>
        <v>2258540</v>
      </c>
      <c r="U87" s="28">
        <f t="shared" si="25"/>
        <v>2244000</v>
      </c>
      <c r="V87" s="28">
        <f>T87-E87-F87-I87</f>
        <v>804540</v>
      </c>
      <c r="W87" s="29">
        <v>2244000</v>
      </c>
      <c r="X87" t="s">
        <v>28</v>
      </c>
    </row>
    <row r="88" customHeight="1" spans="1:24">
      <c r="A88" s="9">
        <v>84</v>
      </c>
      <c r="B88" s="9" t="s">
        <v>97</v>
      </c>
      <c r="C88" s="9">
        <v>520</v>
      </c>
      <c r="D88" s="10">
        <v>2600000</v>
      </c>
      <c r="E88" s="11">
        <v>0</v>
      </c>
      <c r="F88" s="12">
        <f>25000+200000+35000+555000+533500</f>
        <v>1348500</v>
      </c>
      <c r="G88" s="12"/>
      <c r="H88" s="13">
        <f t="shared" si="28"/>
        <v>0</v>
      </c>
      <c r="I88" s="21">
        <f>645500</f>
        <v>645500</v>
      </c>
      <c r="J88" s="21"/>
      <c r="K88" s="21"/>
      <c r="L88" s="22">
        <f t="shared" ref="L88:L90" si="35">225000+1229000</f>
        <v>1454000</v>
      </c>
      <c r="M88" s="22">
        <f t="shared" si="34"/>
        <v>14540</v>
      </c>
      <c r="N88" s="22">
        <f t="shared" ref="N88:N90" si="36">540000</f>
        <v>540000</v>
      </c>
      <c r="O88" s="22">
        <f>N88*1%</f>
        <v>5400</v>
      </c>
      <c r="P88" s="25">
        <f>216000+156000</f>
        <v>372000</v>
      </c>
      <c r="Q88" s="32">
        <f>406000+200000</f>
        <v>606000</v>
      </c>
      <c r="R88" s="25">
        <f t="shared" si="33"/>
        <v>6060</v>
      </c>
      <c r="S88" s="28"/>
      <c r="T88" s="28">
        <f>SUM(J88:P88)</f>
        <v>2385940</v>
      </c>
      <c r="U88" s="28">
        <f t="shared" si="25"/>
        <v>2366000</v>
      </c>
      <c r="V88" s="28">
        <f>T88-E88-F88-I88</f>
        <v>391940</v>
      </c>
      <c r="W88" s="29">
        <v>2366000</v>
      </c>
      <c r="X88" t="s">
        <v>28</v>
      </c>
    </row>
    <row r="89" customHeight="1" spans="1:24">
      <c r="A89" s="9">
        <v>85</v>
      </c>
      <c r="B89" s="9" t="s">
        <v>98</v>
      </c>
      <c r="C89" s="9">
        <v>521</v>
      </c>
      <c r="D89" s="10">
        <v>2639000</v>
      </c>
      <c r="E89" s="11">
        <v>0</v>
      </c>
      <c r="F89" s="12">
        <f>25000+200000+500000+100000</f>
        <v>825000</v>
      </c>
      <c r="G89" s="12"/>
      <c r="H89" s="13">
        <f t="shared" si="28"/>
        <v>0</v>
      </c>
      <c r="I89" s="21">
        <f>500000+150000+550000</f>
        <v>1200000</v>
      </c>
      <c r="J89" s="21"/>
      <c r="K89" s="21"/>
      <c r="L89" s="22">
        <f t="shared" si="35"/>
        <v>1454000</v>
      </c>
      <c r="M89" s="22">
        <f t="shared" si="34"/>
        <v>14540</v>
      </c>
      <c r="N89" s="22">
        <f t="shared" si="36"/>
        <v>540000</v>
      </c>
      <c r="O89" s="22">
        <f>N89*1%</f>
        <v>5400</v>
      </c>
      <c r="P89" s="10">
        <f>0</f>
        <v>0</v>
      </c>
      <c r="Q89" s="32">
        <f>445000+200000</f>
        <v>645000</v>
      </c>
      <c r="R89" s="25">
        <f t="shared" si="33"/>
        <v>6450</v>
      </c>
      <c r="S89" s="28"/>
      <c r="T89" s="28">
        <f>SUM(J89:P89)</f>
        <v>2013940</v>
      </c>
      <c r="U89" s="28">
        <f t="shared" si="25"/>
        <v>2025000</v>
      </c>
      <c r="V89" s="28">
        <f>T89-E89-F89-I89</f>
        <v>-11060</v>
      </c>
      <c r="W89" s="29">
        <v>2025000</v>
      </c>
      <c r="X89" t="s">
        <v>28</v>
      </c>
    </row>
    <row r="90" customHeight="1" spans="1:24">
      <c r="A90" s="9">
        <v>86</v>
      </c>
      <c r="B90" s="9" t="s">
        <v>99</v>
      </c>
      <c r="C90" s="9">
        <v>522</v>
      </c>
      <c r="D90" s="10">
        <v>2600000</v>
      </c>
      <c r="E90" s="11">
        <v>0</v>
      </c>
      <c r="F90" s="12">
        <f>25000+1000+199000+65000+525000+500000</f>
        <v>1315000</v>
      </c>
      <c r="G90" s="12"/>
      <c r="H90" s="13">
        <f t="shared" si="28"/>
        <v>0</v>
      </c>
      <c r="I90" s="21">
        <v>679000</v>
      </c>
      <c r="J90" s="21"/>
      <c r="K90" s="21"/>
      <c r="L90" s="22">
        <f t="shared" si="35"/>
        <v>1454000</v>
      </c>
      <c r="M90" s="22">
        <f t="shared" si="34"/>
        <v>14540</v>
      </c>
      <c r="N90" s="22">
        <f t="shared" si="36"/>
        <v>540000</v>
      </c>
      <c r="O90" s="22">
        <f>N90*1%</f>
        <v>5400</v>
      </c>
      <c r="P90" s="25">
        <f>216000</f>
        <v>216000</v>
      </c>
      <c r="Q90" s="32">
        <f>406000+200000</f>
        <v>606000</v>
      </c>
      <c r="R90" s="25">
        <f t="shared" si="33"/>
        <v>6060</v>
      </c>
      <c r="S90" s="28"/>
      <c r="T90" s="28">
        <f>SUM(J90:P90)</f>
        <v>2229940</v>
      </c>
      <c r="U90" s="28">
        <f t="shared" si="25"/>
        <v>2210000</v>
      </c>
      <c r="V90" s="28">
        <f>T90-E90-F90-I90</f>
        <v>235940</v>
      </c>
      <c r="W90" s="29">
        <v>22100000</v>
      </c>
      <c r="X90" t="s">
        <v>28</v>
      </c>
    </row>
    <row r="91" customHeight="1" spans="1:23">
      <c r="A91" s="38"/>
      <c r="B91" s="39" t="s">
        <v>100</v>
      </c>
      <c r="C91" s="39"/>
      <c r="D91" s="40">
        <f>SUM(D5:D90)</f>
        <v>205746000</v>
      </c>
      <c r="E91" s="40">
        <f>E24+E25+E27+E59+E60+E34</f>
        <v>3471000</v>
      </c>
      <c r="F91" s="41">
        <f>SUM(F5:F90)</f>
        <v>44979692</v>
      </c>
      <c r="G91" s="41"/>
      <c r="H91" s="13">
        <f t="shared" si="28"/>
        <v>0</v>
      </c>
      <c r="I91" s="40">
        <f>SUM(I5:I90)</f>
        <v>70767741</v>
      </c>
      <c r="J91" s="41"/>
      <c r="K91" s="41"/>
      <c r="L91" s="40">
        <f>SUM(L5:L90)</f>
        <v>63914000</v>
      </c>
      <c r="M91" s="40">
        <f>SUM(M5:M90)</f>
        <v>639140</v>
      </c>
      <c r="N91" s="40">
        <f>SUM(N5:N90)</f>
        <v>61283500</v>
      </c>
      <c r="O91" s="40">
        <f>SUM(O5:O90)</f>
        <v>612835</v>
      </c>
      <c r="P91" s="40">
        <f>SUM(P5:P90)</f>
        <v>62706833.14</v>
      </c>
      <c r="Q91" s="40"/>
      <c r="R91" s="40"/>
      <c r="S91" s="40"/>
      <c r="T91" s="40">
        <f>SUM(T5:T90)</f>
        <v>161392621.39</v>
      </c>
      <c r="U91" s="40">
        <f>SUM(U5:U90)</f>
        <v>168661766.14</v>
      </c>
      <c r="V91" s="40">
        <f>SUM(V5:V90)</f>
        <v>35798953.39</v>
      </c>
      <c r="W91" s="29">
        <f>D91+M91+O91-E91-F91-I91</f>
        <v>87779542</v>
      </c>
    </row>
    <row r="92" customHeight="1" spans="1:23">
      <c r="A92" s="42"/>
      <c r="B92" s="42" t="s">
        <v>101</v>
      </c>
      <c r="C92" s="42"/>
      <c r="D92" s="43"/>
      <c r="E92" s="44"/>
      <c r="F92" s="40"/>
      <c r="G92" s="45"/>
      <c r="H92" s="13">
        <f t="shared" si="28"/>
        <v>0</v>
      </c>
      <c r="I92" s="50"/>
      <c r="J92" s="50"/>
      <c r="K92" s="50"/>
      <c r="L92" s="43"/>
      <c r="M92" s="43"/>
      <c r="N92" s="43"/>
      <c r="O92" s="43"/>
      <c r="P92" s="43"/>
      <c r="Q92" s="52"/>
      <c r="R92" s="52"/>
      <c r="S92" s="52"/>
      <c r="T92" s="52"/>
      <c r="U92" s="52"/>
      <c r="V92" s="52"/>
      <c r="W92" s="52"/>
    </row>
    <row r="93" customHeight="1" spans="1:23">
      <c r="A93" s="46">
        <v>1</v>
      </c>
      <c r="B93" s="46" t="s">
        <v>102</v>
      </c>
      <c r="C93" s="46">
        <v>301</v>
      </c>
      <c r="D93" s="47">
        <v>2250000</v>
      </c>
      <c r="E93" s="14">
        <v>1000000</v>
      </c>
      <c r="F93" s="11"/>
      <c r="G93" s="11"/>
      <c r="H93" s="13">
        <f t="shared" si="28"/>
        <v>0</v>
      </c>
      <c r="I93" s="51">
        <v>0</v>
      </c>
      <c r="J93" s="14">
        <f t="shared" ref="J93:J97" si="37">225000+775000</f>
        <v>1000000</v>
      </c>
      <c r="K93" s="26">
        <f>J93*1%</f>
        <v>10000</v>
      </c>
      <c r="L93" s="10"/>
      <c r="M93" s="10">
        <f t="shared" ref="M93:M97" si="38">L93*1%</f>
        <v>0</v>
      </c>
      <c r="N93" s="47"/>
      <c r="O93" s="47">
        <f t="shared" ref="O93:O97" si="39">N93*1%</f>
        <v>0</v>
      </c>
      <c r="P93" s="47">
        <v>1200000</v>
      </c>
      <c r="Q93" s="53"/>
      <c r="R93" s="28"/>
      <c r="S93" s="53"/>
      <c r="T93" s="53">
        <f t="shared" ref="T93:T99" si="40">SUM(J93:P93)</f>
        <v>2210000</v>
      </c>
      <c r="U93" s="53">
        <f t="shared" ref="U93:U99" si="41">E93+F93+I93</f>
        <v>1000000</v>
      </c>
      <c r="V93" s="28">
        <f t="shared" ref="V93:V99" si="42">T93-E93-F93-I93</f>
        <v>1210000</v>
      </c>
      <c r="W93" s="54">
        <f t="shared" ref="W93:W99" si="43">D93+M93+O93-E93-F93-I93</f>
        <v>1250000</v>
      </c>
    </row>
    <row r="94" customHeight="1" spans="1:23">
      <c r="A94" s="46">
        <v>2</v>
      </c>
      <c r="B94" s="46" t="s">
        <v>102</v>
      </c>
      <c r="C94" s="46">
        <v>302</v>
      </c>
      <c r="D94" s="47">
        <v>2250000</v>
      </c>
      <c r="E94" s="14">
        <v>1000000</v>
      </c>
      <c r="F94" s="11"/>
      <c r="G94" s="11"/>
      <c r="H94" s="13">
        <f t="shared" si="28"/>
        <v>0</v>
      </c>
      <c r="I94" s="51">
        <v>0</v>
      </c>
      <c r="J94" s="14">
        <f t="shared" si="37"/>
        <v>1000000</v>
      </c>
      <c r="K94" s="26">
        <f t="shared" ref="K94:K99" si="44">J94*1%</f>
        <v>10000</v>
      </c>
      <c r="L94" s="10"/>
      <c r="M94" s="10">
        <f t="shared" si="38"/>
        <v>0</v>
      </c>
      <c r="N94" s="47"/>
      <c r="O94" s="47">
        <f t="shared" si="39"/>
        <v>0</v>
      </c>
      <c r="P94" s="47">
        <v>1200000</v>
      </c>
      <c r="Q94" s="53"/>
      <c r="R94" s="28"/>
      <c r="S94" s="53"/>
      <c r="T94" s="53">
        <f t="shared" si="40"/>
        <v>2210000</v>
      </c>
      <c r="U94" s="53">
        <f t="shared" si="41"/>
        <v>1000000</v>
      </c>
      <c r="V94" s="28">
        <f t="shared" si="42"/>
        <v>1210000</v>
      </c>
      <c r="W94" s="54">
        <f t="shared" si="43"/>
        <v>1250000</v>
      </c>
    </row>
    <row r="95" customHeight="1" spans="1:23">
      <c r="A95" s="46">
        <v>3</v>
      </c>
      <c r="B95" s="46" t="s">
        <v>102</v>
      </c>
      <c r="C95" s="46">
        <v>304</v>
      </c>
      <c r="D95" s="47">
        <v>2250000</v>
      </c>
      <c r="E95" s="14">
        <v>1000000</v>
      </c>
      <c r="F95" s="11">
        <v>0</v>
      </c>
      <c r="G95" s="11"/>
      <c r="H95" s="13">
        <f t="shared" si="28"/>
        <v>0</v>
      </c>
      <c r="I95" s="51"/>
      <c r="J95" s="14">
        <f t="shared" si="37"/>
        <v>1000000</v>
      </c>
      <c r="K95" s="26">
        <f t="shared" si="44"/>
        <v>10000</v>
      </c>
      <c r="L95" s="10"/>
      <c r="M95" s="10">
        <f t="shared" si="38"/>
        <v>0</v>
      </c>
      <c r="N95" s="47"/>
      <c r="O95" s="47">
        <f t="shared" si="39"/>
        <v>0</v>
      </c>
      <c r="P95" s="47">
        <v>1200000</v>
      </c>
      <c r="Q95" s="53"/>
      <c r="R95" s="28"/>
      <c r="S95" s="53"/>
      <c r="T95" s="53">
        <f t="shared" si="40"/>
        <v>2210000</v>
      </c>
      <c r="U95" s="53">
        <f t="shared" si="41"/>
        <v>1000000</v>
      </c>
      <c r="V95" s="28">
        <f t="shared" si="42"/>
        <v>1210000</v>
      </c>
      <c r="W95" s="54">
        <f t="shared" si="43"/>
        <v>1250000</v>
      </c>
    </row>
    <row r="96" customHeight="1" spans="1:23">
      <c r="A96" s="46">
        <v>4</v>
      </c>
      <c r="B96" s="46" t="s">
        <v>103</v>
      </c>
      <c r="C96" s="46">
        <v>306</v>
      </c>
      <c r="D96" s="47">
        <v>2600000</v>
      </c>
      <c r="E96" s="14">
        <f>25000+200000</f>
        <v>225000</v>
      </c>
      <c r="F96" s="11">
        <v>0</v>
      </c>
      <c r="G96" s="11"/>
      <c r="H96" s="13">
        <f t="shared" si="28"/>
        <v>0</v>
      </c>
      <c r="I96" s="51"/>
      <c r="J96" s="14">
        <f>25000+200000</f>
        <v>225000</v>
      </c>
      <c r="K96" s="26">
        <f t="shared" si="44"/>
        <v>2250</v>
      </c>
      <c r="L96" s="10"/>
      <c r="M96" s="10">
        <f t="shared" si="38"/>
        <v>0</v>
      </c>
      <c r="N96" s="47"/>
      <c r="O96" s="47">
        <f t="shared" si="39"/>
        <v>0</v>
      </c>
      <c r="P96" s="47">
        <v>200000</v>
      </c>
      <c r="Q96" s="53"/>
      <c r="R96" s="28"/>
      <c r="S96" s="53"/>
      <c r="T96" s="53">
        <f t="shared" si="40"/>
        <v>427250</v>
      </c>
      <c r="U96" s="53">
        <f t="shared" si="41"/>
        <v>225000</v>
      </c>
      <c r="V96" s="28">
        <f t="shared" si="42"/>
        <v>202250</v>
      </c>
      <c r="W96" s="54">
        <f t="shared" si="43"/>
        <v>2375000</v>
      </c>
    </row>
    <row r="97" customHeight="1" spans="1:23">
      <c r="A97" s="46">
        <v>5</v>
      </c>
      <c r="B97" s="46" t="s">
        <v>102</v>
      </c>
      <c r="C97" s="46">
        <v>320</v>
      </c>
      <c r="D97" s="47">
        <v>2250000</v>
      </c>
      <c r="E97" s="14">
        <v>1000000</v>
      </c>
      <c r="F97" s="11">
        <v>0</v>
      </c>
      <c r="G97" s="11"/>
      <c r="H97" s="13">
        <f t="shared" si="28"/>
        <v>0</v>
      </c>
      <c r="I97" s="51"/>
      <c r="J97" s="14">
        <f t="shared" si="37"/>
        <v>1000000</v>
      </c>
      <c r="K97" s="26">
        <f t="shared" si="44"/>
        <v>10000</v>
      </c>
      <c r="L97" s="10"/>
      <c r="M97" s="10">
        <f t="shared" si="38"/>
        <v>0</v>
      </c>
      <c r="N97" s="47"/>
      <c r="O97" s="47">
        <f t="shared" si="39"/>
        <v>0</v>
      </c>
      <c r="P97" s="47">
        <v>1200000</v>
      </c>
      <c r="Q97" s="53"/>
      <c r="R97" s="28"/>
      <c r="S97" s="53"/>
      <c r="T97" s="53">
        <f t="shared" si="40"/>
        <v>2210000</v>
      </c>
      <c r="U97" s="53">
        <f t="shared" si="41"/>
        <v>1000000</v>
      </c>
      <c r="V97" s="28">
        <f t="shared" si="42"/>
        <v>1210000</v>
      </c>
      <c r="W97" s="54">
        <f t="shared" si="43"/>
        <v>1250000</v>
      </c>
    </row>
    <row r="98" customHeight="1" spans="1:23">
      <c r="A98" s="46">
        <v>6</v>
      </c>
      <c r="B98" s="48" t="s">
        <v>104</v>
      </c>
      <c r="C98" s="49">
        <v>505</v>
      </c>
      <c r="D98" s="47">
        <v>0</v>
      </c>
      <c r="E98" s="11">
        <v>0</v>
      </c>
      <c r="F98" s="11"/>
      <c r="G98" s="11"/>
      <c r="H98" s="13">
        <f t="shared" si="28"/>
        <v>0</v>
      </c>
      <c r="I98" s="51">
        <v>0</v>
      </c>
      <c r="J98" s="51"/>
      <c r="K98" s="51"/>
      <c r="L98" s="10"/>
      <c r="M98" s="10"/>
      <c r="N98" s="47"/>
      <c r="O98" s="47"/>
      <c r="P98" s="47"/>
      <c r="Q98" s="53"/>
      <c r="R98" s="28"/>
      <c r="S98" s="53"/>
      <c r="T98" s="53">
        <f t="shared" si="40"/>
        <v>0</v>
      </c>
      <c r="U98" s="53">
        <f t="shared" si="41"/>
        <v>0</v>
      </c>
      <c r="V98" s="28">
        <f t="shared" si="42"/>
        <v>0</v>
      </c>
      <c r="W98" s="54">
        <f t="shared" si="43"/>
        <v>0</v>
      </c>
    </row>
    <row r="99" customHeight="1" spans="1:23">
      <c r="A99" s="46">
        <v>7</v>
      </c>
      <c r="B99" s="46" t="s">
        <v>102</v>
      </c>
      <c r="C99" s="46">
        <v>322</v>
      </c>
      <c r="D99" s="47">
        <v>2250000</v>
      </c>
      <c r="E99" s="14">
        <v>1000000</v>
      </c>
      <c r="F99" s="11">
        <v>0</v>
      </c>
      <c r="G99" s="11"/>
      <c r="H99" s="13">
        <f t="shared" si="28"/>
        <v>0</v>
      </c>
      <c r="I99" s="51"/>
      <c r="J99" s="14">
        <f>225000+775000</f>
        <v>1000000</v>
      </c>
      <c r="K99" s="26">
        <f t="shared" si="44"/>
        <v>10000</v>
      </c>
      <c r="L99" s="10"/>
      <c r="M99" s="10">
        <f>L99*1%</f>
        <v>0</v>
      </c>
      <c r="N99" s="47"/>
      <c r="O99" s="47">
        <f>N99*1%</f>
        <v>0</v>
      </c>
      <c r="P99" s="47">
        <v>1200000</v>
      </c>
      <c r="Q99" s="53"/>
      <c r="R99" s="28"/>
      <c r="S99" s="53"/>
      <c r="T99" s="53">
        <f t="shared" si="40"/>
        <v>2210000</v>
      </c>
      <c r="U99" s="53">
        <f t="shared" si="41"/>
        <v>1000000</v>
      </c>
      <c r="V99" s="28">
        <f t="shared" si="42"/>
        <v>1210000</v>
      </c>
      <c r="W99" s="54">
        <f t="shared" si="43"/>
        <v>1250000</v>
      </c>
    </row>
    <row r="103" spans="4:20">
      <c r="D103" t="s">
        <v>105</v>
      </c>
      <c r="T103" s="55"/>
    </row>
    <row r="104" spans="20:20">
      <c r="T104" s="56"/>
    </row>
  </sheetData>
  <pageMargins left="0.393055555555556" right="0.751388888888889" top="1" bottom="1" header="0.5" footer="0.5"/>
  <pageSetup paperSize="9" scale="65" orientation="portrait" horizontalDpi="600"/>
  <headerFooter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Accts</dc:creator>
  <cp:lastModifiedBy>Accts</cp:lastModifiedBy>
  <dcterms:created xsi:type="dcterms:W3CDTF">2023-08-30T09:57:00Z</dcterms:created>
  <dcterms:modified xsi:type="dcterms:W3CDTF">2024-02-14T11:37:53Z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EC3A842636254637BBCA026B659B8A43_13</vt:lpwstr>
  </property>
  <property fmtid="{D5CDD505-2E9C-101B-9397-08002B2CF9AE}" pid="3" name="KSOProductBuildVer">
    <vt:lpwstr>1033-12.2.0.13431</vt:lpwstr>
  </property>
</Properties>
</file>