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RERA REPORT\2023-24\RERA Q3\"/>
    </mc:Choice>
  </mc:AlternateContent>
  <xr:revisionPtr revIDLastSave="0" documentId="13_ncr:1_{D771D82F-75B8-47C5-A779-C5EF1E661103}" xr6:coauthVersionLast="47" xr6:coauthVersionMax="47" xr10:uidLastSave="{00000000-0000-0000-0000-000000000000}"/>
  <bookViews>
    <workbookView xWindow="0" yWindow="1215" windowWidth="20490" windowHeight="10305" firstSheet="2" activeTab="2" xr2:uid="{00000000-000D-0000-FFFF-FFFF00000000}"/>
  </bookViews>
  <sheets>
    <sheet name="RERA sold units details" sheetId="1" state="hidden" r:id="rId1"/>
    <sheet name="Rera Receipts" sheetId="3" state="hidden" r:id="rId2"/>
    <sheet name="RERA 30.10.2023" sheetId="4" r:id="rId3"/>
    <sheet name="Unit Details" sheetId="2" state="hidden" r:id="rId4"/>
  </sheets>
  <externalReferences>
    <externalReference r:id="rId5"/>
  </externalReferences>
  <definedNames>
    <definedName name="_xlnm._FilterDatabase" localSheetId="0" hidden="1">'RERA sold units details'!$A$5:$N$5</definedName>
    <definedName name="_xlnm._FilterDatabase" localSheetId="3" hidden="1">'Unit Details'!$A$5:$I$230</definedName>
    <definedName name="_xlnm.Print_Titles" localSheetId="0">'RERA sold units details'!$5:$5</definedName>
    <definedName name="_xlnm.Print_Titles" localSheetId="3">'Unit Details'!$5:$5</definedName>
  </definedNames>
  <calcPr calcId="191029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8" i="4"/>
  <c r="K71" i="4"/>
  <c r="J71" i="4"/>
  <c r="J60" i="4"/>
  <c r="J57" i="4"/>
  <c r="J55" i="4"/>
  <c r="J52" i="4"/>
  <c r="J51" i="4"/>
  <c r="J37" i="4"/>
  <c r="J62" i="4"/>
  <c r="J59" i="4"/>
  <c r="J56" i="4"/>
  <c r="J54" i="4"/>
  <c r="J53" i="4"/>
  <c r="J36" i="4"/>
  <c r="J25" i="4"/>
  <c r="H71" i="4"/>
  <c r="H69" i="4"/>
  <c r="H62" i="4"/>
  <c r="H61" i="4"/>
  <c r="H59" i="4"/>
  <c r="H58" i="4"/>
  <c r="F71" i="4"/>
  <c r="G70" i="4"/>
  <c r="G71" i="4"/>
  <c r="I70" i="4"/>
  <c r="I71" i="4"/>
  <c r="G69" i="4"/>
  <c r="I69" i="4"/>
  <c r="J32" i="4"/>
  <c r="K32" i="4"/>
  <c r="K48" i="4"/>
  <c r="H48" i="4"/>
  <c r="H36" i="4"/>
  <c r="K16" i="4"/>
  <c r="J16" i="4"/>
  <c r="H16" i="4"/>
  <c r="J66" i="4"/>
  <c r="H66" i="4"/>
  <c r="J68" i="4"/>
  <c r="K68" i="4"/>
  <c r="H68" i="4"/>
  <c r="K67" i="4"/>
  <c r="J67" i="4"/>
  <c r="H67" i="4"/>
  <c r="J63" i="4"/>
  <c r="H63" i="4"/>
  <c r="K63" i="4"/>
  <c r="J48" i="4"/>
  <c r="K44" i="4"/>
  <c r="J44" i="4"/>
  <c r="J43" i="4"/>
  <c r="K43" i="4"/>
  <c r="K42" i="4"/>
  <c r="J42" i="4"/>
  <c r="K41" i="4"/>
  <c r="H41" i="4"/>
  <c r="K40" i="4"/>
  <c r="J40" i="4"/>
  <c r="H40" i="4"/>
  <c r="K38" i="4"/>
  <c r="J38" i="4"/>
  <c r="H38" i="4"/>
  <c r="H37" i="4"/>
  <c r="J35" i="4"/>
  <c r="H35" i="4"/>
  <c r="J33" i="4"/>
  <c r="H32" i="4"/>
  <c r="J31" i="4"/>
  <c r="J28" i="4"/>
  <c r="J26" i="4"/>
  <c r="K27" i="4"/>
  <c r="J27" i="4"/>
  <c r="H27" i="4"/>
  <c r="J47" i="4" l="1"/>
  <c r="H31" i="4"/>
  <c r="H44" i="4"/>
  <c r="J65" i="4"/>
  <c r="J64" i="4"/>
  <c r="J49" i="4"/>
  <c r="H49" i="4"/>
  <c r="J45" i="4"/>
  <c r="K45" i="4"/>
  <c r="J34" i="4"/>
  <c r="K34" i="4"/>
  <c r="H30" i="4"/>
  <c r="K24" i="4"/>
  <c r="J24" i="4"/>
  <c r="J23" i="4"/>
  <c r="J15" i="4"/>
  <c r="J41" i="4"/>
  <c r="H52" i="4"/>
  <c r="H47" i="4"/>
  <c r="J46" i="4"/>
  <c r="H46" i="4"/>
  <c r="H42" i="4"/>
  <c r="J29" i="4"/>
  <c r="K29" i="4"/>
  <c r="H29" i="4"/>
  <c r="H24" i="4"/>
  <c r="J39" i="4"/>
  <c r="K23" i="4"/>
  <c r="K19" i="4"/>
  <c r="J18" i="4"/>
  <c r="J17" i="4"/>
  <c r="J11" i="4"/>
  <c r="H11" i="4"/>
  <c r="J21" i="4" l="1"/>
  <c r="H57" i="4"/>
  <c r="H56" i="4"/>
  <c r="H54" i="4"/>
  <c r="J22" i="4"/>
  <c r="J20" i="4" l="1"/>
  <c r="J19" i="4"/>
  <c r="H18" i="4"/>
  <c r="J12" i="4" l="1"/>
  <c r="J10" i="4"/>
  <c r="J9" i="4"/>
  <c r="J8" i="4"/>
  <c r="J7" i="4"/>
  <c r="G52" i="4"/>
  <c r="I52" i="4"/>
  <c r="H65" i="4" l="1"/>
  <c r="H64" i="4"/>
  <c r="H39" i="4"/>
  <c r="H28" i="4"/>
  <c r="H26" i="4"/>
  <c r="H25" i="4"/>
  <c r="H23" i="4"/>
  <c r="H22" i="4"/>
  <c r="H21" i="4"/>
  <c r="H20" i="4"/>
  <c r="H19" i="4"/>
  <c r="H17" i="4"/>
  <c r="H15" i="4"/>
  <c r="H14" i="4"/>
  <c r="H13" i="4"/>
  <c r="H12" i="4"/>
  <c r="H9" i="4"/>
  <c r="H8" i="4"/>
  <c r="H7" i="4"/>
  <c r="H53" i="4"/>
  <c r="H60" i="4" l="1"/>
  <c r="H55" i="4"/>
  <c r="H51" i="4"/>
  <c r="H43" i="4"/>
  <c r="H34" i="4"/>
  <c r="H33" i="4"/>
  <c r="H10" i="4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7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H62" i="3"/>
  <c r="H61" i="3"/>
  <c r="H46" i="3"/>
  <c r="H45" i="3"/>
  <c r="H29" i="3"/>
  <c r="H28" i="3"/>
  <c r="H27" i="3"/>
  <c r="H25" i="3"/>
  <c r="H24" i="3"/>
  <c r="H18" i="3"/>
  <c r="H20" i="3"/>
  <c r="H19" i="3"/>
  <c r="H13" i="3"/>
  <c r="H12" i="3"/>
  <c r="H7" i="3"/>
  <c r="J62" i="3"/>
  <c r="J61" i="3"/>
  <c r="J46" i="3"/>
  <c r="J45" i="3"/>
  <c r="J28" i="3"/>
  <c r="J27" i="3"/>
  <c r="J25" i="3"/>
  <c r="J24" i="3"/>
  <c r="J20" i="3"/>
  <c r="J19" i="3"/>
  <c r="J18" i="3"/>
  <c r="J13" i="3"/>
  <c r="J12" i="3"/>
  <c r="J7" i="3"/>
  <c r="H32" i="3"/>
  <c r="J21" i="3"/>
  <c r="H21" i="3"/>
  <c r="H8" i="3"/>
  <c r="H23" i="3"/>
  <c r="H22" i="3"/>
  <c r="H17" i="3"/>
  <c r="H16" i="3"/>
  <c r="H14" i="3"/>
  <c r="H11" i="3"/>
  <c r="H10" i="3"/>
  <c r="H9" i="3"/>
  <c r="H6" i="3"/>
  <c r="J6" i="3"/>
  <c r="H63" i="3"/>
  <c r="H60" i="3"/>
  <c r="H42" i="3"/>
  <c r="H41" i="3"/>
  <c r="H40" i="3"/>
  <c r="H39" i="3"/>
  <c r="H38" i="3"/>
  <c r="H37" i="3"/>
  <c r="H36" i="3"/>
  <c r="H35" i="3"/>
  <c r="H34" i="3"/>
  <c r="H33" i="3"/>
  <c r="H31" i="3"/>
  <c r="H30" i="3"/>
  <c r="H26" i="3"/>
  <c r="J17" i="3"/>
  <c r="H1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" i="3"/>
  <c r="F67" i="3"/>
  <c r="C67" i="3"/>
  <c r="J2" i="3"/>
  <c r="J13" i="1"/>
  <c r="K13" i="1"/>
  <c r="K9" i="1"/>
  <c r="K6" i="1"/>
  <c r="K63" i="1"/>
  <c r="K62" i="1"/>
  <c r="K61" i="1"/>
  <c r="K43" i="1"/>
  <c r="K40" i="1"/>
  <c r="K37" i="1"/>
  <c r="K36" i="1"/>
  <c r="L35" i="1"/>
  <c r="K30" i="1"/>
  <c r="M2" i="1"/>
  <c r="D67" i="3" l="1"/>
  <c r="G67" i="3"/>
  <c r="H67" i="3"/>
  <c r="K27" i="1"/>
  <c r="L27" i="1" s="1"/>
  <c r="K26" i="1"/>
  <c r="L26" i="1"/>
  <c r="K25" i="1"/>
  <c r="J23" i="1"/>
  <c r="L23" i="1" s="1"/>
  <c r="L18" i="1"/>
  <c r="L19" i="1"/>
  <c r="L20" i="1"/>
  <c r="L21" i="1"/>
  <c r="L22" i="1"/>
  <c r="L24" i="1"/>
  <c r="L25" i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K17" i="1"/>
  <c r="L17" i="1"/>
  <c r="K12" i="1"/>
  <c r="K11" i="1"/>
  <c r="J11" i="1"/>
  <c r="L9" i="1"/>
  <c r="L10" i="1"/>
  <c r="J8" i="1"/>
  <c r="K7" i="1"/>
  <c r="I7" i="1"/>
  <c r="I67" i="3" l="1"/>
  <c r="L7" i="1"/>
  <c r="K74" i="1"/>
  <c r="L8" i="1"/>
  <c r="J74" i="1"/>
  <c r="M9" i="1"/>
  <c r="M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N21" i="1"/>
  <c r="M22" i="1"/>
  <c r="M24" i="1"/>
  <c r="M27" i="1"/>
  <c r="M28" i="1"/>
  <c r="M31" i="1"/>
  <c r="M35" i="1"/>
  <c r="M39" i="1"/>
  <c r="M43" i="1"/>
  <c r="M47" i="1"/>
  <c r="M51" i="1"/>
  <c r="M55" i="1"/>
  <c r="M59" i="1"/>
  <c r="M63" i="1"/>
  <c r="I6" i="1"/>
  <c r="G230" i="2"/>
  <c r="F230" i="2"/>
  <c r="E230" i="2"/>
  <c r="D230" i="2"/>
  <c r="H74" i="1"/>
  <c r="G74" i="1"/>
  <c r="F74" i="1"/>
  <c r="D74" i="1" s="1"/>
  <c r="C74" i="1"/>
  <c r="L73" i="1"/>
  <c r="L72" i="1"/>
  <c r="M65" i="1"/>
  <c r="M64" i="1"/>
  <c r="M62" i="1"/>
  <c r="M61" i="1"/>
  <c r="M60" i="1"/>
  <c r="M58" i="1"/>
  <c r="M57" i="1"/>
  <c r="M56" i="1"/>
  <c r="M54" i="1"/>
  <c r="M53" i="1"/>
  <c r="M52" i="1"/>
  <c r="M50" i="1"/>
  <c r="M49" i="1"/>
  <c r="M48" i="1"/>
  <c r="M46" i="1"/>
  <c r="M45" i="1"/>
  <c r="M44" i="1"/>
  <c r="M42" i="1"/>
  <c r="M41" i="1"/>
  <c r="M40" i="1"/>
  <c r="M38" i="1"/>
  <c r="M37" i="1"/>
  <c r="M36" i="1"/>
  <c r="M34" i="1"/>
  <c r="M33" i="1"/>
  <c r="M32" i="1"/>
  <c r="M30" i="1"/>
  <c r="N30" i="1"/>
  <c r="M29" i="1"/>
  <c r="N29" i="1"/>
  <c r="N28" i="1"/>
  <c r="M26" i="1"/>
  <c r="N26" i="1"/>
  <c r="N22" i="1"/>
  <c r="M20" i="1"/>
  <c r="N20" i="1"/>
  <c r="M18" i="1"/>
  <c r="M17" i="1"/>
  <c r="M8" i="1"/>
  <c r="M7" i="1"/>
  <c r="I74" i="1"/>
  <c r="I3" i="1"/>
  <c r="J67" i="3" l="1"/>
  <c r="N27" i="1"/>
  <c r="N8" i="1"/>
  <c r="N7" i="1"/>
  <c r="M21" i="1"/>
  <c r="N24" i="1"/>
  <c r="M19" i="1"/>
  <c r="N19" i="1"/>
  <c r="N25" i="1"/>
  <c r="M25" i="1"/>
  <c r="L6" i="1"/>
  <c r="L74" i="1" s="1"/>
  <c r="N9" i="1"/>
  <c r="N10" i="1"/>
  <c r="N12" i="1"/>
  <c r="N13" i="1"/>
  <c r="N14" i="1"/>
  <c r="N15" i="1"/>
  <c r="N16" i="1"/>
  <c r="N17" i="1"/>
  <c r="N18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1" i="1"/>
  <c r="M23" i="1" l="1"/>
  <c r="N23" i="1"/>
  <c r="N6" i="1"/>
  <c r="M6" i="1"/>
  <c r="M74" i="1" l="1"/>
  <c r="N74" i="1"/>
</calcChain>
</file>

<file path=xl/sharedStrings.xml><?xml version="1.0" encoding="utf-8"?>
<sst xmlns="http://schemas.openxmlformats.org/spreadsheetml/2006/main" count="1056" uniqueCount="123">
  <si>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</si>
  <si>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</si>
  <si>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</si>
  <si>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</si>
  <si>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</si>
  <si>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</si>
  <si>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</si>
  <si>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</si>
  <si>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</si>
  <si>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</si>
  <si>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</si>
  <si>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</si>
  <si>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</si>
  <si>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</si>
  <si>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</si>
  <si>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</si>
  <si>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</si>
  <si>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</si>
  <si>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</si>
  <si>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</si>
  <si>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</si>
  <si>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</si>
  <si>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</si>
  <si>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</si>
  <si>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</si>
  <si>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</si>
  <si>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</si>
  <si>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</si>
  <si>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</si>
  <si>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</si>
  <si>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</si>
  <si>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</si>
  <si>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</si>
  <si>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</si>
  <si>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</si>
  <si>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</si>
  <si>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</si>
  <si>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</si>
  <si>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</si>
  <si>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</si>
  <si>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</si>
  <si>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</si>
  <si>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</si>
  <si>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</si>
  <si>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</si>
  <si>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</si>
  <si>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</si>
  <si>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</si>
  <si>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</si>
  <si>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</si>
  <si>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</si>
  <si>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</si>
  <si>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</si>
  <si>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</si>
  <si>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</si>
  <si>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</si>
  <si>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</si>
  <si>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</si>
  <si>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</si>
  <si>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</si>
  <si>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</si>
  <si>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</si>
  <si>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</si>
  <si>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</si>
  <si>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</si>
  <si>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</si>
  <si>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</si>
  <si>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</si>
  <si>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</si>
  <si>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</si>
  <si>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</si>
  <si>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</si>
  <si>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</si>
  <si>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</si>
  <si>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</si>
  <si>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</si>
  <si>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</si>
  <si>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</si>
  <si>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</si>
  <si>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</si>
  <si>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</si>
  <si>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</si>
  <si>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</si>
  <si>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</si>
  <si>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</si>
  <si>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</si>
  <si>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</si>
  <si>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</si>
  <si>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</si>
  <si>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</si>
  <si>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</si>
  <si>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</si>
  <si>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</si>
  <si>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</si>
  <si>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</si>
  <si>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</si>
  <si>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</si>
  <si>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</si>
  <si>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</si>
  <si>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</si>
  <si>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</si>
  <si>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</si>
  <si>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</si>
  <si>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</si>
  <si>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</si>
  <si>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</si>
  <si>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</si>
  <si>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</si>
  <si>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</si>
  <si>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</si>
  <si>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</si>
  <si>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Amount Receivable @40%SOV</t>
  </si>
  <si>
    <t>Amount received by MHPL</t>
  </si>
  <si>
    <t>Amount received by SOV</t>
  </si>
  <si>
    <t>Date</t>
  </si>
  <si>
    <t>31.12.2021</t>
  </si>
  <si>
    <t>NSVS Sai srinivas and N Anuradha</t>
  </si>
  <si>
    <t>Other amount GST</t>
  </si>
  <si>
    <t>Raghavendra EVSS</t>
  </si>
  <si>
    <t>Juny escolas Dsouza</t>
  </si>
  <si>
    <t>31.12.2023</t>
  </si>
  <si>
    <t>Bejati arun prathik</t>
  </si>
  <si>
    <t>tushar gopal jangle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</si>
</sst>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43" fontId="3" fillId="0" borderId="0" xfId="1" applyFont="1" applyBorder="1" applyAlignment="1">
      <alignment horizontal="right"/>
    </xf>
    <xf numFmtId="165" fontId="0" fillId="0" borderId="0" xfId="0" applyNumberFormat="1"/>
    <xf numFmtId="0" fontId="0" fillId="3" borderId="0" xfId="0" applyFill="1"/>
    <xf numFmtId="0" fontId="3" fillId="0" borderId="4" xfId="0" applyFont="1" applyBorder="1"/>
    <xf numFmtId="43" fontId="3" fillId="0" borderId="4" xfId="1" applyFont="1" applyBorder="1"/>
    <xf numFmtId="0" fontId="0" fillId="0" borderId="4" xfId="0" applyBorder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5" fillId="0" borderId="4" xfId="1" applyNumberFormat="1" applyFont="1" applyBorder="1"/>
    <xf numFmtId="165" fontId="6" fillId="0" borderId="4" xfId="1" applyNumberFormat="1" applyFont="1" applyBorder="1"/>
    <xf numFmtId="165" fontId="6" fillId="0" borderId="4" xfId="1" applyNumberFormat="1" applyFont="1" applyFill="1" applyBorder="1"/>
    <xf numFmtId="165" fontId="4" fillId="0" borderId="4" xfId="1" applyNumberFormat="1" applyFont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/>
    <xf numFmtId="165" fontId="2" fillId="3" borderId="4" xfId="1" applyNumberFormat="1" applyFont="1" applyFill="1" applyBorder="1"/>
    <xf numFmtId="3" fontId="5" fillId="3" borderId="4" xfId="0" applyNumberFormat="1" applyFont="1" applyFill="1" applyBorder="1" applyAlignment="1">
      <alignment horizontal="right" wrapText="1"/>
    </xf>
    <xf numFmtId="165" fontId="4" fillId="3" borderId="4" xfId="1" applyNumberFormat="1" applyFont="1" applyFill="1" applyBorder="1"/>
    <xf numFmtId="0" fontId="5" fillId="0" borderId="4" xfId="0" applyFont="1" applyBorder="1" applyAlignment="1">
      <alignment horizontal="left"/>
    </xf>
    <xf numFmtId="43" fontId="2" fillId="0" borderId="4" xfId="1" applyFont="1" applyFill="1" applyBorder="1"/>
    <xf numFmtId="165" fontId="2" fillId="0" borderId="4" xfId="0" applyNumberFormat="1" applyFont="1" applyBorder="1"/>
    <xf numFmtId="43" fontId="2" fillId="0" borderId="4" xfId="1" applyFont="1" applyFill="1" applyBorder="1" applyAlignment="1">
      <alignment horizontal="right" inden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zoomScale="110" zoomScaleNormal="11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K21" sqref="K21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1.8554687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1" width="11" style="2" customWidth="1"/>
    <col min="12" max="12" width="9.5703125" style="2" customWidth="1"/>
    <col min="13" max="13" width="10.85546875" style="2" bestFit="1" customWidth="1"/>
    <col min="14" max="14" width="10.140625" style="2" customWidth="1"/>
    <col min="15" max="16384" width="9.140625" style="2"/>
  </cols>
  <sheetData>
    <row r="1" spans="1:14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</row>
    <row r="2" spans="1:14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>
        <f>9*4</f>
        <v>36</v>
      </c>
    </row>
    <row r="3" spans="1:14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</row>
    <row r="4" spans="1:14" x14ac:dyDescent="0.2">
      <c r="D4" s="3"/>
      <c r="E4" s="3"/>
      <c r="G4" s="3"/>
      <c r="H4" s="3"/>
      <c r="I4" s="3"/>
      <c r="J4" s="1"/>
      <c r="K4" s="1"/>
      <c r="L4" s="1"/>
      <c r="M4" s="1"/>
    </row>
    <row r="5" spans="1:14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</row>
    <row r="6" spans="1:14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</f>
        <v>1096000</v>
      </c>
      <c r="L6" s="11">
        <f t="shared" ref="L6:L65" si="0">SUM(G6:K6)</f>
        <v>5808000</v>
      </c>
      <c r="M6" s="11">
        <f t="shared" ref="M6:M65" si="1">F6-L6</f>
        <v>2492000</v>
      </c>
      <c r="N6" s="11">
        <f t="shared" ref="N6:N65" si="2">L6*100/105</f>
        <v>5531428.5714285718</v>
      </c>
    </row>
    <row r="7" spans="1:14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>
        <f t="shared" si="0"/>
        <v>7401600</v>
      </c>
      <c r="M7" s="11">
        <f t="shared" si="1"/>
        <v>898400</v>
      </c>
      <c r="N7" s="11">
        <f t="shared" si="2"/>
        <v>7049142.8571428573</v>
      </c>
    </row>
    <row r="8" spans="1:14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v>1008000</v>
      </c>
      <c r="L8" s="11">
        <f t="shared" si="0"/>
        <v>5884000</v>
      </c>
      <c r="M8" s="11">
        <f t="shared" si="1"/>
        <v>2516000</v>
      </c>
      <c r="N8" s="11">
        <f t="shared" si="2"/>
        <v>5603809.5238095243</v>
      </c>
    </row>
    <row r="9" spans="1:14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</f>
        <v>2600000</v>
      </c>
      <c r="L9" s="11">
        <f t="shared" si="0"/>
        <v>3825000</v>
      </c>
      <c r="M9" s="11">
        <f t="shared" si="1"/>
        <v>5275000</v>
      </c>
      <c r="N9" s="11">
        <f t="shared" si="2"/>
        <v>3642857.1428571427</v>
      </c>
    </row>
    <row r="10" spans="1:14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v>984000</v>
      </c>
      <c r="L10" s="11">
        <f t="shared" si="0"/>
        <v>5732000</v>
      </c>
      <c r="M10" s="11">
        <f t="shared" si="1"/>
        <v>2468000</v>
      </c>
      <c r="N10" s="11">
        <f t="shared" si="2"/>
        <v>5459047.6190476194</v>
      </c>
    </row>
    <row r="11" spans="1:14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</f>
        <v>2900000</v>
      </c>
      <c r="L11" s="11">
        <f t="shared" si="0"/>
        <v>5865000</v>
      </c>
      <c r="M11" s="11">
        <f t="shared" si="1"/>
        <v>2435000</v>
      </c>
      <c r="N11" s="11">
        <f t="shared" si="2"/>
        <v>5585714.2857142854</v>
      </c>
    </row>
    <row r="12" spans="1:14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>
        <f t="shared" si="0"/>
        <v>7281249</v>
      </c>
      <c r="M12" s="11">
        <f t="shared" si="1"/>
        <v>1218751</v>
      </c>
      <c r="N12" s="11">
        <f t="shared" si="2"/>
        <v>6934522.8571428573</v>
      </c>
    </row>
    <row r="13" spans="1:14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>
        <f t="shared" si="0"/>
        <v>7401600</v>
      </c>
      <c r="M13" s="11">
        <f t="shared" si="1"/>
        <v>898400</v>
      </c>
      <c r="N13" s="11">
        <f t="shared" si="2"/>
        <v>7049142.8571428573</v>
      </c>
    </row>
    <row r="14" spans="1:14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v>996000</v>
      </c>
      <c r="L14" s="11">
        <f t="shared" si="0"/>
        <v>5808000</v>
      </c>
      <c r="M14" s="11">
        <f t="shared" si="1"/>
        <v>2492000</v>
      </c>
      <c r="N14" s="11">
        <f t="shared" si="2"/>
        <v>5531428.5714285718</v>
      </c>
    </row>
    <row r="15" spans="1:14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v>3587000</v>
      </c>
      <c r="L15" s="11">
        <f t="shared" si="0"/>
        <v>4862000</v>
      </c>
      <c r="M15" s="11">
        <f t="shared" si="1"/>
        <v>3438000</v>
      </c>
      <c r="N15" s="11">
        <f t="shared" si="2"/>
        <v>4630476.1904761903</v>
      </c>
    </row>
    <row r="16" spans="1:14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v>984000</v>
      </c>
      <c r="L16" s="11">
        <f t="shared" si="0"/>
        <v>5732000</v>
      </c>
      <c r="M16" s="11">
        <f t="shared" si="1"/>
        <v>2468000</v>
      </c>
      <c r="N16" s="11">
        <f t="shared" si="2"/>
        <v>5459047.6190476194</v>
      </c>
    </row>
    <row r="17" spans="1:15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</f>
        <v>1020000</v>
      </c>
      <c r="L17" s="11">
        <f t="shared" si="0"/>
        <v>6235000</v>
      </c>
      <c r="M17" s="11">
        <f t="shared" si="1"/>
        <v>2265000</v>
      </c>
      <c r="N17" s="11">
        <f t="shared" si="2"/>
        <v>5938095.2380952379</v>
      </c>
    </row>
    <row r="18" spans="1:15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>
        <f t="shared" si="0"/>
        <v>6755000</v>
      </c>
      <c r="M18" s="11">
        <f t="shared" si="1"/>
        <v>1445000</v>
      </c>
      <c r="N18" s="11">
        <f t="shared" si="2"/>
        <v>6433333.333333333</v>
      </c>
    </row>
    <row r="19" spans="1:15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v>9810000</v>
      </c>
      <c r="L19" s="11">
        <f t="shared" si="0"/>
        <v>9810000</v>
      </c>
      <c r="M19" s="11">
        <f t="shared" si="1"/>
        <v>0</v>
      </c>
      <c r="N19" s="11">
        <f t="shared" si="2"/>
        <v>9342857.1428571437</v>
      </c>
    </row>
    <row r="20" spans="1:15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v>10125000</v>
      </c>
      <c r="L20" s="11">
        <f t="shared" si="0"/>
        <v>10125000</v>
      </c>
      <c r="M20" s="11">
        <f t="shared" si="1"/>
        <v>-5000</v>
      </c>
      <c r="N20" s="11">
        <f t="shared" si="2"/>
        <v>9642857.1428571437</v>
      </c>
    </row>
    <row r="21" spans="1:15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46">
        <v>2589600</v>
      </c>
      <c r="L21" s="11">
        <f t="shared" si="0"/>
        <v>7401600</v>
      </c>
      <c r="M21" s="11">
        <f t="shared" si="1"/>
        <v>898400</v>
      </c>
      <c r="N21" s="11">
        <f t="shared" si="2"/>
        <v>7049142.8571428573</v>
      </c>
    </row>
    <row r="22" spans="1:15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v>1008000</v>
      </c>
      <c r="L22" s="11">
        <f t="shared" si="0"/>
        <v>5808000</v>
      </c>
      <c r="M22" s="11">
        <f t="shared" si="1"/>
        <v>2492000</v>
      </c>
      <c r="N22" s="11">
        <f t="shared" si="2"/>
        <v>5531428.5714285718</v>
      </c>
    </row>
    <row r="23" spans="1:15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v>1092000</v>
      </c>
      <c r="L23" s="11">
        <f t="shared" si="0"/>
        <v>6416000</v>
      </c>
      <c r="M23" s="11">
        <f t="shared" si="1"/>
        <v>2684000</v>
      </c>
      <c r="N23" s="11">
        <f t="shared" si="2"/>
        <v>6110476.1904761903</v>
      </c>
    </row>
    <row r="24" spans="1:15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>
        <f t="shared" si="0"/>
        <v>6340000</v>
      </c>
      <c r="M24" s="11">
        <f t="shared" si="1"/>
        <v>2660000</v>
      </c>
      <c r="N24" s="11">
        <f t="shared" si="2"/>
        <v>6038095.2380952379</v>
      </c>
    </row>
    <row r="25" spans="1:15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>
        <f t="shared" si="0"/>
        <v>6416000</v>
      </c>
      <c r="M25" s="11">
        <f t="shared" si="1"/>
        <v>2684000</v>
      </c>
      <c r="N25" s="11">
        <f t="shared" si="2"/>
        <v>6110476.1904761903</v>
      </c>
    </row>
    <row r="26" spans="1:15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</f>
        <v>4131000</v>
      </c>
      <c r="L26" s="11">
        <f t="shared" si="0"/>
        <v>5356000</v>
      </c>
      <c r="M26" s="11">
        <f t="shared" si="1"/>
        <v>3794000</v>
      </c>
      <c r="N26" s="11">
        <f t="shared" si="2"/>
        <v>5100952.3809523806</v>
      </c>
      <c r="O26" s="41"/>
    </row>
    <row r="27" spans="1:15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>
        <f t="shared" si="0"/>
        <v>6416000</v>
      </c>
      <c r="M27" s="11">
        <f t="shared" si="1"/>
        <v>2684000</v>
      </c>
      <c r="N27" s="11">
        <f t="shared" si="2"/>
        <v>6110476.1904761903</v>
      </c>
    </row>
    <row r="28" spans="1:15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>
        <f t="shared" si="0"/>
        <v>8000000</v>
      </c>
      <c r="M28" s="11">
        <f t="shared" si="1"/>
        <v>1000000</v>
      </c>
      <c r="N28" s="11">
        <f t="shared" si="2"/>
        <v>7619047.6190476194</v>
      </c>
    </row>
    <row r="29" spans="1:15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v>425000</v>
      </c>
      <c r="K29" s="11">
        <v>1500000</v>
      </c>
      <c r="L29" s="11">
        <f t="shared" si="0"/>
        <v>1925000</v>
      </c>
      <c r="M29" s="11">
        <f t="shared" si="1"/>
        <v>7145000</v>
      </c>
      <c r="N29" s="11">
        <f t="shared" si="2"/>
        <v>1833333.3333333333</v>
      </c>
      <c r="O29" s="41"/>
    </row>
    <row r="30" spans="1:15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</f>
        <v>4099000</v>
      </c>
      <c r="L30" s="11">
        <f t="shared" si="0"/>
        <v>5324000</v>
      </c>
      <c r="M30" s="11">
        <f t="shared" si="1"/>
        <v>3776000</v>
      </c>
      <c r="N30" s="11">
        <f t="shared" si="2"/>
        <v>5070476.1904761903</v>
      </c>
      <c r="O30" s="41"/>
    </row>
    <row r="31" spans="1:15" ht="12.95" customHeight="1" x14ac:dyDescent="0.2">
      <c r="A31" s="10">
        <v>26</v>
      </c>
      <c r="B31" s="39">
        <v>148</v>
      </c>
      <c r="C31" s="1">
        <v>2040</v>
      </c>
      <c r="D31" s="11"/>
      <c r="E31" s="39" t="s">
        <v>73</v>
      </c>
      <c r="F31" s="40">
        <v>8930000</v>
      </c>
      <c r="G31" s="12">
        <v>0</v>
      </c>
      <c r="H31" s="12">
        <v>0</v>
      </c>
      <c r="I31" s="11">
        <v>0</v>
      </c>
      <c r="J31" s="11">
        <v>2725000</v>
      </c>
      <c r="K31" s="11">
        <v>2500000</v>
      </c>
      <c r="L31" s="11">
        <f t="shared" si="0"/>
        <v>5225000</v>
      </c>
      <c r="M31" s="11">
        <f t="shared" si="1"/>
        <v>3705000</v>
      </c>
      <c r="N31" s="11">
        <f t="shared" si="2"/>
        <v>4976190.4761904757</v>
      </c>
    </row>
    <row r="32" spans="1:15" ht="12.95" customHeight="1" x14ac:dyDescent="0.2">
      <c r="A32" s="10">
        <v>27</v>
      </c>
      <c r="B32" s="39">
        <v>149</v>
      </c>
      <c r="C32" s="1">
        <v>2040</v>
      </c>
      <c r="D32" s="11"/>
      <c r="E32" s="39" t="s">
        <v>74</v>
      </c>
      <c r="F32" s="40">
        <v>8600000</v>
      </c>
      <c r="G32" s="12"/>
      <c r="H32" s="12"/>
      <c r="I32" s="11">
        <v>0</v>
      </c>
      <c r="J32" s="11">
        <v>1225000</v>
      </c>
      <c r="K32" s="11">
        <v>3779000</v>
      </c>
      <c r="L32" s="11">
        <f t="shared" si="0"/>
        <v>5004000</v>
      </c>
      <c r="M32" s="11">
        <f t="shared" si="1"/>
        <v>3596000</v>
      </c>
      <c r="N32" s="11">
        <f t="shared" si="2"/>
        <v>4765714.2857142854</v>
      </c>
    </row>
    <row r="33" spans="1:15" ht="12.95" customHeight="1" x14ac:dyDescent="0.2">
      <c r="A33" s="10">
        <v>28</v>
      </c>
      <c r="B33" s="39">
        <v>150</v>
      </c>
      <c r="C33" s="1">
        <v>2040</v>
      </c>
      <c r="D33" s="11"/>
      <c r="E33" s="39" t="s">
        <v>75</v>
      </c>
      <c r="F33" s="40">
        <v>8600000</v>
      </c>
      <c r="G33" s="12">
        <v>0</v>
      </c>
      <c r="H33" s="12">
        <v>0</v>
      </c>
      <c r="I33" s="11">
        <v>0</v>
      </c>
      <c r="J33" s="11">
        <v>0</v>
      </c>
      <c r="K33" s="11">
        <v>1225000</v>
      </c>
      <c r="L33" s="11">
        <f t="shared" si="0"/>
        <v>1225000</v>
      </c>
      <c r="M33" s="11">
        <f t="shared" si="1"/>
        <v>7375000</v>
      </c>
      <c r="N33" s="11">
        <f t="shared" si="2"/>
        <v>1166666.6666666667</v>
      </c>
      <c r="O33" s="41"/>
    </row>
    <row r="34" spans="1:15" ht="12.95" customHeight="1" x14ac:dyDescent="0.2">
      <c r="A34" s="10">
        <v>29</v>
      </c>
      <c r="B34" s="39">
        <v>151</v>
      </c>
      <c r="C34" s="1">
        <v>2040</v>
      </c>
      <c r="D34" s="11"/>
      <c r="E34" s="39" t="s">
        <v>76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v>1225007</v>
      </c>
      <c r="L34" s="11">
        <f t="shared" si="0"/>
        <v>1225007</v>
      </c>
      <c r="M34" s="11">
        <f t="shared" si="1"/>
        <v>7374993</v>
      </c>
      <c r="N34" s="11">
        <f t="shared" si="2"/>
        <v>1166673.3333333333</v>
      </c>
    </row>
    <row r="35" spans="1:15" ht="12.95" customHeight="1" x14ac:dyDescent="0.2">
      <c r="A35" s="10">
        <v>30</v>
      </c>
      <c r="B35" s="39">
        <v>152</v>
      </c>
      <c r="C35" s="1">
        <v>2040</v>
      </c>
      <c r="D35" s="11"/>
      <c r="E35" s="39" t="s">
        <v>77</v>
      </c>
      <c r="F35" s="40">
        <v>9381000</v>
      </c>
      <c r="G35" s="12">
        <v>0</v>
      </c>
      <c r="H35" s="12">
        <v>0</v>
      </c>
      <c r="I35" s="11">
        <v>0</v>
      </c>
      <c r="J35" s="11">
        <v>1200000</v>
      </c>
      <c r="K35" s="11">
        <v>4310000</v>
      </c>
      <c r="L35" s="11">
        <f t="shared" si="0"/>
        <v>5510000</v>
      </c>
      <c r="M35" s="11">
        <f t="shared" si="1"/>
        <v>3871000</v>
      </c>
      <c r="N35" s="11">
        <f t="shared" si="2"/>
        <v>5247619.0476190476</v>
      </c>
    </row>
    <row r="36" spans="1:15" ht="12.95" customHeight="1" x14ac:dyDescent="0.2">
      <c r="A36" s="10">
        <v>31</v>
      </c>
      <c r="B36" s="39">
        <v>153</v>
      </c>
      <c r="C36" s="1">
        <v>2040</v>
      </c>
      <c r="D36" s="11"/>
      <c r="E36" s="39" t="s">
        <v>78</v>
      </c>
      <c r="F36" s="40">
        <v>9100000</v>
      </c>
      <c r="G36" s="12">
        <v>0</v>
      </c>
      <c r="H36" s="12">
        <v>0</v>
      </c>
      <c r="I36" s="11">
        <v>0</v>
      </c>
      <c r="J36" s="11">
        <v>1200000</v>
      </c>
      <c r="K36" s="11">
        <f>200000+4000000</f>
        <v>4200000</v>
      </c>
      <c r="L36" s="11">
        <f t="shared" si="0"/>
        <v>5400000</v>
      </c>
      <c r="M36" s="11">
        <f t="shared" si="1"/>
        <v>3700000</v>
      </c>
      <c r="N36" s="11">
        <f t="shared" si="2"/>
        <v>5142857.1428571427</v>
      </c>
    </row>
    <row r="37" spans="1:15" ht="12.95" customHeight="1" x14ac:dyDescent="0.2">
      <c r="A37" s="10">
        <v>32</v>
      </c>
      <c r="B37" s="39">
        <v>154</v>
      </c>
      <c r="C37" s="1">
        <v>2040</v>
      </c>
      <c r="D37" s="11"/>
      <c r="E37" s="39" t="s">
        <v>79</v>
      </c>
      <c r="F37" s="40">
        <v>9100000</v>
      </c>
      <c r="G37" s="12">
        <v>0</v>
      </c>
      <c r="H37" s="12">
        <v>0</v>
      </c>
      <c r="I37" s="11">
        <v>0</v>
      </c>
      <c r="J37" s="11">
        <v>1225000</v>
      </c>
      <c r="K37" s="11">
        <f>1400000</f>
        <v>1400000</v>
      </c>
      <c r="L37" s="11">
        <f t="shared" si="0"/>
        <v>2625000</v>
      </c>
      <c r="M37" s="11">
        <f t="shared" si="1"/>
        <v>6475000</v>
      </c>
      <c r="N37" s="11">
        <f t="shared" si="2"/>
        <v>2500000</v>
      </c>
      <c r="O37" s="41"/>
    </row>
    <row r="38" spans="1:15" ht="12.95" customHeight="1" x14ac:dyDescent="0.2">
      <c r="A38" s="10">
        <v>33</v>
      </c>
      <c r="B38" s="39">
        <v>155</v>
      </c>
      <c r="C38" s="1">
        <v>2040</v>
      </c>
      <c r="D38" s="11"/>
      <c r="E38" s="39" t="s">
        <v>80</v>
      </c>
      <c r="F38" s="40">
        <v>8850000</v>
      </c>
      <c r="G38" s="12">
        <v>0</v>
      </c>
      <c r="H38" s="12">
        <v>0</v>
      </c>
      <c r="I38" s="11">
        <v>0</v>
      </c>
      <c r="J38" s="11">
        <v>1225000</v>
      </c>
      <c r="K38" s="11">
        <v>3939000</v>
      </c>
      <c r="L38" s="11">
        <f t="shared" si="0"/>
        <v>5164000</v>
      </c>
      <c r="M38" s="11">
        <f t="shared" si="1"/>
        <v>3686000</v>
      </c>
      <c r="N38" s="11">
        <f t="shared" si="2"/>
        <v>4918095.2380952379</v>
      </c>
    </row>
    <row r="39" spans="1:15" ht="12.95" customHeight="1" x14ac:dyDescent="0.2">
      <c r="A39" s="10">
        <v>34</v>
      </c>
      <c r="B39" s="39">
        <v>156</v>
      </c>
      <c r="C39" s="1">
        <v>2040</v>
      </c>
      <c r="D39" s="11"/>
      <c r="E39" s="39" t="s">
        <v>81</v>
      </c>
      <c r="F39" s="40">
        <v>7350000</v>
      </c>
      <c r="G39" s="12">
        <v>0</v>
      </c>
      <c r="H39" s="12">
        <v>0</v>
      </c>
      <c r="I39" s="11">
        <v>0</v>
      </c>
      <c r="J39" s="11">
        <v>1225000</v>
      </c>
      <c r="K39" s="11">
        <v>2979000</v>
      </c>
      <c r="L39" s="11">
        <f t="shared" si="0"/>
        <v>4204000</v>
      </c>
      <c r="M39" s="11">
        <f t="shared" si="1"/>
        <v>3146000</v>
      </c>
      <c r="N39" s="11">
        <f t="shared" si="2"/>
        <v>4003809.5238095238</v>
      </c>
    </row>
    <row r="40" spans="1:15" ht="12.95" customHeight="1" x14ac:dyDescent="0.2">
      <c r="A40" s="10">
        <v>35</v>
      </c>
      <c r="B40" s="39">
        <v>157</v>
      </c>
      <c r="C40" s="1">
        <v>2040</v>
      </c>
      <c r="D40" s="11"/>
      <c r="E40" s="39" t="s">
        <v>82</v>
      </c>
      <c r="F40" s="40">
        <v>8850000</v>
      </c>
      <c r="G40" s="12">
        <v>0</v>
      </c>
      <c r="H40" s="12">
        <v>0</v>
      </c>
      <c r="I40" s="11">
        <v>0</v>
      </c>
      <c r="J40" s="11">
        <v>1225000</v>
      </c>
      <c r="K40" s="11">
        <f>500000+739000+750000+700000+500000+750000</f>
        <v>3939000</v>
      </c>
      <c r="L40" s="11">
        <f t="shared" si="0"/>
        <v>5164000</v>
      </c>
      <c r="M40" s="12">
        <f t="shared" si="1"/>
        <v>3686000</v>
      </c>
      <c r="N40" s="11">
        <f t="shared" si="2"/>
        <v>4918095.2380952379</v>
      </c>
    </row>
    <row r="41" spans="1:15" ht="12.95" customHeight="1" x14ac:dyDescent="0.2">
      <c r="A41" s="10">
        <v>36</v>
      </c>
      <c r="B41" s="39">
        <v>158</v>
      </c>
      <c r="C41" s="1">
        <v>2040</v>
      </c>
      <c r="D41" s="11"/>
      <c r="E41" s="39" t="s">
        <v>83</v>
      </c>
      <c r="F41" s="40">
        <v>9800000</v>
      </c>
      <c r="G41" s="12">
        <v>0</v>
      </c>
      <c r="H41" s="12">
        <v>0</v>
      </c>
      <c r="I41" s="11">
        <v>0</v>
      </c>
      <c r="J41" s="11">
        <v>0</v>
      </c>
      <c r="K41" s="11">
        <v>1225000</v>
      </c>
      <c r="L41" s="11">
        <f t="shared" si="0"/>
        <v>1225000</v>
      </c>
      <c r="M41" s="11">
        <f t="shared" si="1"/>
        <v>8575000</v>
      </c>
      <c r="N41" s="11">
        <f t="shared" si="2"/>
        <v>1166666.6666666667</v>
      </c>
    </row>
    <row r="42" spans="1:15" ht="12.95" customHeight="1" x14ac:dyDescent="0.2">
      <c r="A42" s="10">
        <v>37</v>
      </c>
      <c r="B42" s="39">
        <v>159</v>
      </c>
      <c r="C42" s="1">
        <v>2040</v>
      </c>
      <c r="D42" s="11"/>
      <c r="E42" s="39" t="s">
        <v>84</v>
      </c>
      <c r="F42" s="40">
        <v>8600000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>
        <f t="shared" si="0"/>
        <v>1225000</v>
      </c>
      <c r="M42" s="11">
        <f t="shared" si="1"/>
        <v>7375000</v>
      </c>
      <c r="N42" s="11">
        <f t="shared" si="2"/>
        <v>1166666.6666666667</v>
      </c>
    </row>
    <row r="43" spans="1:15" ht="12.95" customHeight="1" x14ac:dyDescent="0.2">
      <c r="A43" s="10">
        <v>38</v>
      </c>
      <c r="B43" s="39">
        <v>160</v>
      </c>
      <c r="C43" s="1">
        <v>2040</v>
      </c>
      <c r="D43" s="11"/>
      <c r="E43" s="39" t="s">
        <v>85</v>
      </c>
      <c r="F43" s="40">
        <v>7725000</v>
      </c>
      <c r="G43" s="12"/>
      <c r="H43" s="12"/>
      <c r="I43" s="11">
        <v>0</v>
      </c>
      <c r="J43" s="11">
        <v>0</v>
      </c>
      <c r="K43" s="11">
        <f>1225000+1619000+1600000</f>
        <v>4444000</v>
      </c>
      <c r="L43" s="11">
        <f t="shared" si="0"/>
        <v>4444000</v>
      </c>
      <c r="M43" s="11">
        <f t="shared" si="1"/>
        <v>3281000</v>
      </c>
      <c r="N43" s="11">
        <f t="shared" si="2"/>
        <v>4232380.9523809524</v>
      </c>
    </row>
    <row r="44" spans="1:15" ht="12.95" customHeight="1" x14ac:dyDescent="0.2">
      <c r="A44" s="10">
        <v>39</v>
      </c>
      <c r="B44" s="39">
        <v>161</v>
      </c>
      <c r="C44" s="1">
        <v>2040</v>
      </c>
      <c r="D44" s="11"/>
      <c r="E44" s="39" t="s">
        <v>86</v>
      </c>
      <c r="F44" s="40">
        <v>10900000</v>
      </c>
      <c r="G44" s="12"/>
      <c r="H44" s="12"/>
      <c r="I44" s="11">
        <v>0</v>
      </c>
      <c r="J44" s="11">
        <v>0</v>
      </c>
      <c r="K44" s="11">
        <v>2355000</v>
      </c>
      <c r="L44" s="11">
        <f t="shared" si="0"/>
        <v>2355000</v>
      </c>
      <c r="M44" s="11">
        <f t="shared" si="1"/>
        <v>8545000</v>
      </c>
      <c r="N44" s="11">
        <f t="shared" si="2"/>
        <v>2242857.1428571427</v>
      </c>
    </row>
    <row r="45" spans="1:15" ht="12.95" customHeight="1" x14ac:dyDescent="0.2">
      <c r="A45" s="10">
        <v>40</v>
      </c>
      <c r="B45" s="39">
        <v>162</v>
      </c>
      <c r="C45" s="1">
        <v>2040</v>
      </c>
      <c r="D45" s="11"/>
      <c r="E45" s="39" t="s">
        <v>87</v>
      </c>
      <c r="F45" s="40">
        <v>7850000</v>
      </c>
      <c r="G45" s="12">
        <v>0</v>
      </c>
      <c r="H45" s="12">
        <v>0</v>
      </c>
      <c r="I45" s="11">
        <v>0</v>
      </c>
      <c r="J45" s="11">
        <v>1225000</v>
      </c>
      <c r="K45" s="11">
        <v>4900000</v>
      </c>
      <c r="L45" s="11">
        <f t="shared" si="0"/>
        <v>6125000</v>
      </c>
      <c r="M45" s="11">
        <f t="shared" si="1"/>
        <v>1725000</v>
      </c>
      <c r="N45" s="11">
        <f t="shared" si="2"/>
        <v>5833333.333333333</v>
      </c>
    </row>
    <row r="46" spans="1:15" ht="12.95" customHeight="1" x14ac:dyDescent="0.2">
      <c r="A46" s="10">
        <v>41</v>
      </c>
      <c r="B46" s="39">
        <v>163</v>
      </c>
      <c r="C46" s="1">
        <v>2040</v>
      </c>
      <c r="D46" s="11"/>
      <c r="E46" s="39" t="s">
        <v>88</v>
      </c>
      <c r="F46" s="40">
        <v>9700000</v>
      </c>
      <c r="G46" s="12">
        <v>0</v>
      </c>
      <c r="H46" s="12">
        <v>0</v>
      </c>
      <c r="I46" s="11">
        <v>0</v>
      </c>
      <c r="J46" s="11">
        <v>0</v>
      </c>
      <c r="K46" s="11">
        <v>6872000</v>
      </c>
      <c r="L46" s="11">
        <f t="shared" si="0"/>
        <v>6872000</v>
      </c>
      <c r="M46" s="11">
        <f t="shared" si="1"/>
        <v>2828000</v>
      </c>
      <c r="N46" s="11">
        <f t="shared" si="2"/>
        <v>6544761.9047619049</v>
      </c>
    </row>
    <row r="47" spans="1:15" ht="12.95" customHeight="1" x14ac:dyDescent="0.2">
      <c r="A47" s="10">
        <v>42</v>
      </c>
      <c r="B47" s="39">
        <v>164</v>
      </c>
      <c r="C47" s="1">
        <v>2040</v>
      </c>
      <c r="D47" s="11"/>
      <c r="E47" s="39" t="s">
        <v>89</v>
      </c>
      <c r="F47" s="40">
        <v>8300000</v>
      </c>
      <c r="G47" s="12">
        <v>0</v>
      </c>
      <c r="H47" s="12">
        <v>0</v>
      </c>
      <c r="I47" s="11">
        <v>0</v>
      </c>
      <c r="J47" s="11">
        <v>0</v>
      </c>
      <c r="K47" s="11">
        <v>725000</v>
      </c>
      <c r="L47" s="11">
        <f t="shared" si="0"/>
        <v>725000</v>
      </c>
      <c r="M47" s="11">
        <f t="shared" si="1"/>
        <v>7575000</v>
      </c>
      <c r="N47" s="11">
        <f t="shared" si="2"/>
        <v>690476.19047619053</v>
      </c>
      <c r="O47" s="41"/>
    </row>
    <row r="48" spans="1:15" s="52" customFormat="1" ht="12.95" customHeight="1" x14ac:dyDescent="0.2">
      <c r="A48" s="47">
        <v>43</v>
      </c>
      <c r="B48" s="48">
        <v>165</v>
      </c>
      <c r="C48" s="49">
        <v>2040</v>
      </c>
      <c r="D48" s="46"/>
      <c r="E48" s="48" t="s">
        <v>90</v>
      </c>
      <c r="F48" s="50">
        <v>5000000</v>
      </c>
      <c r="G48" s="51">
        <v>0</v>
      </c>
      <c r="H48" s="51">
        <v>0</v>
      </c>
      <c r="I48" s="46">
        <v>0</v>
      </c>
      <c r="J48" s="46">
        <v>4260007</v>
      </c>
      <c r="K48" s="46">
        <v>0</v>
      </c>
      <c r="L48" s="46">
        <f t="shared" si="0"/>
        <v>4260007</v>
      </c>
      <c r="M48" s="46">
        <f t="shared" si="1"/>
        <v>739993</v>
      </c>
      <c r="N48" s="46">
        <f t="shared" si="2"/>
        <v>4057149.5238095238</v>
      </c>
    </row>
    <row r="49" spans="1:15" ht="12.95" customHeight="1" x14ac:dyDescent="0.2">
      <c r="A49" s="10">
        <v>44</v>
      </c>
      <c r="B49" s="39">
        <v>166</v>
      </c>
      <c r="C49" s="1">
        <v>2040</v>
      </c>
      <c r="D49" s="11"/>
      <c r="E49" s="39" t="s">
        <v>91</v>
      </c>
      <c r="F49" s="40">
        <v>10875000</v>
      </c>
      <c r="G49" s="12">
        <v>0</v>
      </c>
      <c r="H49" s="12">
        <v>0</v>
      </c>
      <c r="I49" s="11">
        <v>0</v>
      </c>
      <c r="J49" s="11">
        <v>0</v>
      </c>
      <c r="K49" s="11">
        <v>1225000</v>
      </c>
      <c r="L49" s="11">
        <f t="shared" si="0"/>
        <v>1225000</v>
      </c>
      <c r="M49" s="11">
        <f t="shared" si="1"/>
        <v>9650000</v>
      </c>
      <c r="N49" s="11">
        <f t="shared" si="2"/>
        <v>1166666.6666666667</v>
      </c>
      <c r="O49" s="41"/>
    </row>
    <row r="50" spans="1:15" ht="12.95" customHeight="1" x14ac:dyDescent="0.2">
      <c r="A50" s="10">
        <v>45</v>
      </c>
      <c r="B50" s="39">
        <v>168</v>
      </c>
      <c r="C50" s="1">
        <v>2040</v>
      </c>
      <c r="D50" s="11"/>
      <c r="E50" s="39" t="s">
        <v>92</v>
      </c>
      <c r="F50" s="40">
        <v>10900000</v>
      </c>
      <c r="G50" s="12">
        <v>0</v>
      </c>
      <c r="H50" s="12">
        <v>0</v>
      </c>
      <c r="I50" s="11">
        <v>0</v>
      </c>
      <c r="J50" s="11">
        <v>0</v>
      </c>
      <c r="K50" s="11">
        <v>725000</v>
      </c>
      <c r="L50" s="11">
        <f t="shared" si="0"/>
        <v>725000</v>
      </c>
      <c r="M50" s="11">
        <f t="shared" si="1"/>
        <v>10175000</v>
      </c>
      <c r="N50" s="11">
        <f t="shared" si="2"/>
        <v>690476.19047619053</v>
      </c>
      <c r="O50" s="41"/>
    </row>
    <row r="51" spans="1:15" ht="12.95" customHeight="1" x14ac:dyDescent="0.2">
      <c r="A51" s="10">
        <v>46</v>
      </c>
      <c r="B51" s="39">
        <v>169</v>
      </c>
      <c r="C51" s="1">
        <v>2040</v>
      </c>
      <c r="D51" s="11"/>
      <c r="E51" s="39" t="s">
        <v>93</v>
      </c>
      <c r="F51" s="40">
        <v>11350000</v>
      </c>
      <c r="G51" s="12">
        <v>0</v>
      </c>
      <c r="H51" s="12">
        <v>0</v>
      </c>
      <c r="I51" s="11">
        <v>0</v>
      </c>
      <c r="J51" s="11">
        <v>0</v>
      </c>
      <c r="K51" s="11">
        <v>225000</v>
      </c>
      <c r="L51" s="11">
        <f t="shared" si="0"/>
        <v>225000</v>
      </c>
      <c r="M51" s="11">
        <f t="shared" si="1"/>
        <v>11125000</v>
      </c>
      <c r="N51" s="11">
        <f t="shared" si="2"/>
        <v>214285.71428571429</v>
      </c>
      <c r="O51" s="41"/>
    </row>
    <row r="52" spans="1:15" ht="12.95" customHeight="1" x14ac:dyDescent="0.2">
      <c r="A52" s="10">
        <v>47</v>
      </c>
      <c r="B52" s="39">
        <v>170</v>
      </c>
      <c r="C52" s="1">
        <v>2040</v>
      </c>
      <c r="D52" s="11"/>
      <c r="E52" s="39" t="s">
        <v>94</v>
      </c>
      <c r="F52" s="40">
        <v>10400000</v>
      </c>
      <c r="G52" s="12">
        <v>0</v>
      </c>
      <c r="H52" s="12">
        <v>0</v>
      </c>
      <c r="I52" s="11">
        <v>0</v>
      </c>
      <c r="J52" s="11">
        <v>0</v>
      </c>
      <c r="K52" s="11">
        <v>1425000</v>
      </c>
      <c r="L52" s="11">
        <f t="shared" si="0"/>
        <v>1425000</v>
      </c>
      <c r="M52" s="11">
        <f t="shared" si="1"/>
        <v>8975000</v>
      </c>
      <c r="N52" s="11">
        <f t="shared" si="2"/>
        <v>1357142.857142857</v>
      </c>
    </row>
    <row r="53" spans="1:15" ht="12.95" customHeight="1" x14ac:dyDescent="0.2">
      <c r="A53" s="10">
        <v>48</v>
      </c>
      <c r="B53" s="39">
        <v>171</v>
      </c>
      <c r="C53" s="1">
        <v>2040</v>
      </c>
      <c r="D53" s="11"/>
      <c r="E53" s="39" t="s">
        <v>95</v>
      </c>
      <c r="F53" s="40">
        <v>11400000</v>
      </c>
      <c r="G53" s="12">
        <v>0</v>
      </c>
      <c r="H53" s="12">
        <v>0</v>
      </c>
      <c r="I53" s="11">
        <v>0</v>
      </c>
      <c r="J53" s="11">
        <v>0</v>
      </c>
      <c r="K53" s="11">
        <v>225000</v>
      </c>
      <c r="L53" s="11">
        <f t="shared" si="0"/>
        <v>225000</v>
      </c>
      <c r="M53" s="11">
        <f t="shared" si="1"/>
        <v>11175000</v>
      </c>
      <c r="N53" s="11">
        <f t="shared" si="2"/>
        <v>214285.71428571429</v>
      </c>
      <c r="O53" s="41"/>
    </row>
    <row r="54" spans="1:15" ht="12.95" customHeight="1" x14ac:dyDescent="0.2">
      <c r="A54" s="10">
        <v>49</v>
      </c>
      <c r="B54" s="39">
        <v>174</v>
      </c>
      <c r="C54" s="1">
        <v>2040</v>
      </c>
      <c r="D54" s="11"/>
      <c r="E54" s="39" t="s">
        <v>96</v>
      </c>
      <c r="F54" s="40">
        <v>10000000</v>
      </c>
      <c r="G54" s="12">
        <v>0</v>
      </c>
      <c r="H54" s="12">
        <v>0</v>
      </c>
      <c r="I54" s="11">
        <v>0</v>
      </c>
      <c r="J54" s="11">
        <v>0</v>
      </c>
      <c r="K54" s="11">
        <v>1225000</v>
      </c>
      <c r="L54" s="11">
        <f t="shared" si="0"/>
        <v>1225000</v>
      </c>
      <c r="M54" s="11">
        <f t="shared" si="1"/>
        <v>8775000</v>
      </c>
      <c r="N54" s="11">
        <f t="shared" si="2"/>
        <v>1166666.6666666667</v>
      </c>
    </row>
    <row r="55" spans="1:15" ht="12.95" customHeight="1" x14ac:dyDescent="0.2">
      <c r="A55" s="10">
        <v>50</v>
      </c>
      <c r="B55" s="39">
        <v>175</v>
      </c>
      <c r="C55" s="1">
        <v>2040</v>
      </c>
      <c r="D55" s="11"/>
      <c r="E55" s="39" t="s">
        <v>97</v>
      </c>
      <c r="F55" s="40">
        <v>10875000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>
        <f t="shared" si="0"/>
        <v>1225000</v>
      </c>
      <c r="M55" s="11">
        <f t="shared" si="1"/>
        <v>9650000</v>
      </c>
      <c r="N55" s="11">
        <f t="shared" si="2"/>
        <v>1166666.6666666667</v>
      </c>
    </row>
    <row r="56" spans="1:15" ht="12.95" customHeight="1" x14ac:dyDescent="0.2">
      <c r="A56" s="10">
        <v>51</v>
      </c>
      <c r="B56" s="39">
        <v>176</v>
      </c>
      <c r="C56" s="1">
        <v>2040</v>
      </c>
      <c r="D56" s="11"/>
      <c r="E56" s="39" t="s">
        <v>98</v>
      </c>
      <c r="F56" s="40">
        <v>10000000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>
        <f t="shared" si="0"/>
        <v>1225000</v>
      </c>
      <c r="M56" s="11">
        <f t="shared" si="1"/>
        <v>8775000</v>
      </c>
      <c r="N56" s="11">
        <f t="shared" si="2"/>
        <v>1166666.6666666667</v>
      </c>
      <c r="O56" s="41"/>
    </row>
    <row r="57" spans="1:15" ht="12.95" customHeight="1" x14ac:dyDescent="0.2">
      <c r="A57" s="10">
        <v>52</v>
      </c>
      <c r="B57" s="39">
        <v>177</v>
      </c>
      <c r="C57" s="1">
        <v>2040</v>
      </c>
      <c r="D57" s="11"/>
      <c r="E57" s="39" t="s">
        <v>99</v>
      </c>
      <c r="F57" s="40">
        <v>8500000</v>
      </c>
      <c r="G57" s="12">
        <v>0</v>
      </c>
      <c r="H57" s="12">
        <v>0</v>
      </c>
      <c r="I57" s="11">
        <v>0</v>
      </c>
      <c r="J57" s="11">
        <v>0</v>
      </c>
      <c r="K57" s="11">
        <v>1225000</v>
      </c>
      <c r="L57" s="11">
        <f t="shared" si="0"/>
        <v>1225000</v>
      </c>
      <c r="M57" s="11">
        <f t="shared" si="1"/>
        <v>7275000</v>
      </c>
      <c r="N57" s="11">
        <f t="shared" si="2"/>
        <v>1166666.6666666667</v>
      </c>
    </row>
    <row r="58" spans="1:15" ht="12.95" customHeight="1" x14ac:dyDescent="0.2">
      <c r="A58" s="10">
        <v>53</v>
      </c>
      <c r="B58" s="39">
        <v>178</v>
      </c>
      <c r="C58" s="1">
        <v>2040</v>
      </c>
      <c r="D58" s="11"/>
      <c r="E58" s="39" t="s">
        <v>100</v>
      </c>
      <c r="F58" s="40">
        <v>12400000</v>
      </c>
      <c r="G58" s="12"/>
      <c r="H58" s="12"/>
      <c r="I58" s="11">
        <v>0</v>
      </c>
      <c r="J58" s="11">
        <v>0</v>
      </c>
      <c r="K58" s="11">
        <v>225000</v>
      </c>
      <c r="L58" s="11">
        <f t="shared" si="0"/>
        <v>225000</v>
      </c>
      <c r="M58" s="11">
        <f>F58-L58</f>
        <v>12175000</v>
      </c>
      <c r="N58" s="11">
        <f>L58*100/105</f>
        <v>214285.71428571429</v>
      </c>
    </row>
    <row r="59" spans="1:15" ht="12.95" customHeight="1" x14ac:dyDescent="0.2">
      <c r="A59" s="10">
        <v>54</v>
      </c>
      <c r="B59" s="39">
        <v>179</v>
      </c>
      <c r="C59" s="1">
        <v>2040</v>
      </c>
      <c r="D59" s="11"/>
      <c r="E59" s="39" t="s">
        <v>101</v>
      </c>
      <c r="F59" s="40">
        <v>9800000</v>
      </c>
      <c r="G59" s="12">
        <v>0</v>
      </c>
      <c r="H59" s="12">
        <v>0</v>
      </c>
      <c r="I59" s="11">
        <v>0</v>
      </c>
      <c r="J59" s="11">
        <v>0</v>
      </c>
      <c r="K59" s="11">
        <v>1225000</v>
      </c>
      <c r="L59" s="11">
        <f t="shared" si="0"/>
        <v>1225000</v>
      </c>
      <c r="M59" s="11">
        <f t="shared" si="1"/>
        <v>8575000</v>
      </c>
      <c r="N59" s="11">
        <f t="shared" si="2"/>
        <v>1166666.6666666667</v>
      </c>
      <c r="O59" s="41"/>
    </row>
    <row r="60" spans="1:15" ht="12.95" customHeight="1" x14ac:dyDescent="0.2">
      <c r="A60" s="10">
        <v>55</v>
      </c>
      <c r="B60" s="39">
        <v>180</v>
      </c>
      <c r="C60" s="1">
        <v>2040</v>
      </c>
      <c r="D60" s="11"/>
      <c r="E60" s="39" t="s">
        <v>102</v>
      </c>
      <c r="F60" s="40">
        <v>9800000</v>
      </c>
      <c r="G60" s="13"/>
      <c r="H60" s="11"/>
      <c r="I60" s="11">
        <v>0</v>
      </c>
      <c r="J60" s="11">
        <v>225000</v>
      </c>
      <c r="K60" s="11">
        <v>5547000</v>
      </c>
      <c r="L60" s="11">
        <f t="shared" si="0"/>
        <v>5772000</v>
      </c>
      <c r="M60" s="11">
        <f t="shared" si="1"/>
        <v>4028000</v>
      </c>
      <c r="N60" s="11">
        <f t="shared" si="2"/>
        <v>5497142.8571428573</v>
      </c>
      <c r="O60" s="41"/>
    </row>
    <row r="61" spans="1:15" s="52" customFormat="1" ht="12.95" customHeight="1" x14ac:dyDescent="0.2">
      <c r="A61" s="47">
        <v>56</v>
      </c>
      <c r="B61" s="48">
        <v>181</v>
      </c>
      <c r="C61" s="49">
        <v>2040</v>
      </c>
      <c r="D61" s="46"/>
      <c r="E61" s="48" t="s">
        <v>103</v>
      </c>
      <c r="F61" s="50">
        <v>9600000</v>
      </c>
      <c r="G61" s="46"/>
      <c r="H61" s="46"/>
      <c r="I61" s="46">
        <v>0</v>
      </c>
      <c r="J61" s="46">
        <v>200000</v>
      </c>
      <c r="K61" s="46">
        <f>236250+4419000+191200+500000</f>
        <v>5346450</v>
      </c>
      <c r="L61" s="46">
        <f t="shared" si="0"/>
        <v>5546450</v>
      </c>
      <c r="M61" s="46">
        <f t="shared" si="1"/>
        <v>4053550</v>
      </c>
      <c r="N61" s="46">
        <f t="shared" si="2"/>
        <v>5282333.333333333</v>
      </c>
      <c r="O61" s="53"/>
    </row>
    <row r="62" spans="1:15" ht="12.95" customHeight="1" x14ac:dyDescent="0.2">
      <c r="A62" s="10">
        <v>57</v>
      </c>
      <c r="B62" s="39">
        <v>182</v>
      </c>
      <c r="C62" s="1">
        <v>2040</v>
      </c>
      <c r="D62" s="11"/>
      <c r="E62" s="39" t="s">
        <v>104</v>
      </c>
      <c r="F62" s="40">
        <v>9950000</v>
      </c>
      <c r="G62" s="12"/>
      <c r="H62" s="12"/>
      <c r="I62" s="11">
        <v>0</v>
      </c>
      <c r="J62" s="11">
        <v>0</v>
      </c>
      <c r="K62" s="11">
        <f>7262000-1194000</f>
        <v>6068000</v>
      </c>
      <c r="L62" s="11">
        <f t="shared" si="0"/>
        <v>6068000</v>
      </c>
      <c r="M62" s="11">
        <f t="shared" si="1"/>
        <v>3882000</v>
      </c>
      <c r="N62" s="11">
        <f t="shared" si="2"/>
        <v>5779047.6190476194</v>
      </c>
      <c r="O62" s="41"/>
    </row>
    <row r="63" spans="1:15" ht="12.95" customHeight="1" x14ac:dyDescent="0.2">
      <c r="A63" s="10">
        <v>58</v>
      </c>
      <c r="B63" s="39">
        <v>183</v>
      </c>
      <c r="C63" s="1">
        <v>2040</v>
      </c>
      <c r="D63" s="11"/>
      <c r="E63" s="39" t="s">
        <v>105</v>
      </c>
      <c r="F63" s="40">
        <v>10000000</v>
      </c>
      <c r="G63" s="12">
        <v>0</v>
      </c>
      <c r="H63" s="12">
        <v>0</v>
      </c>
      <c r="I63" s="11">
        <v>0</v>
      </c>
      <c r="J63" s="11">
        <v>0</v>
      </c>
      <c r="K63" s="11">
        <f>7100000-1200000</f>
        <v>5900000</v>
      </c>
      <c r="L63" s="11">
        <f t="shared" si="0"/>
        <v>5900000</v>
      </c>
      <c r="M63" s="11">
        <f t="shared" si="1"/>
        <v>4100000</v>
      </c>
      <c r="N63" s="11">
        <f t="shared" si="2"/>
        <v>5619047.6190476194</v>
      </c>
      <c r="O63" s="41"/>
    </row>
    <row r="64" spans="1:15" ht="12.95" customHeight="1" x14ac:dyDescent="0.2">
      <c r="A64" s="10">
        <v>59</v>
      </c>
      <c r="B64" s="39">
        <v>184</v>
      </c>
      <c r="C64" s="1">
        <v>2040</v>
      </c>
      <c r="D64" s="11"/>
      <c r="E64" s="39" t="s">
        <v>106</v>
      </c>
      <c r="F64" s="40">
        <v>10000000</v>
      </c>
      <c r="G64" s="12"/>
      <c r="H64" s="12"/>
      <c r="I64" s="11">
        <v>0</v>
      </c>
      <c r="J64" s="11">
        <v>0</v>
      </c>
      <c r="K64" s="11">
        <v>5900000</v>
      </c>
      <c r="L64" s="11">
        <f t="shared" si="0"/>
        <v>5900000</v>
      </c>
      <c r="M64" s="11">
        <f>F64-L64</f>
        <v>4100000</v>
      </c>
      <c r="N64" s="11">
        <f>L64*100/105</f>
        <v>5619047.6190476194</v>
      </c>
    </row>
    <row r="65" spans="1:14" ht="12.95" customHeight="1" x14ac:dyDescent="0.2">
      <c r="A65" s="10">
        <v>60</v>
      </c>
      <c r="B65" s="39">
        <v>185</v>
      </c>
      <c r="C65" s="1">
        <v>2040</v>
      </c>
      <c r="D65" s="11"/>
      <c r="E65" s="39" t="s">
        <v>107</v>
      </c>
      <c r="F65" s="40">
        <v>10000000</v>
      </c>
      <c r="G65" s="12">
        <v>0</v>
      </c>
      <c r="H65" s="12">
        <v>0</v>
      </c>
      <c r="I65" s="11">
        <v>0</v>
      </c>
      <c r="J65" s="11">
        <v>0</v>
      </c>
      <c r="K65" s="11">
        <v>5900000</v>
      </c>
      <c r="L65" s="11">
        <f t="shared" si="0"/>
        <v>5900000</v>
      </c>
      <c r="M65" s="11">
        <f t="shared" si="1"/>
        <v>4100000</v>
      </c>
      <c r="N65" s="11">
        <f t="shared" si="2"/>
        <v>5619047.6190476194</v>
      </c>
    </row>
    <row r="66" spans="1:14" ht="12.95" customHeight="1" x14ac:dyDescent="0.2">
      <c r="A66" s="10"/>
      <c r="B66" s="1"/>
      <c r="C66" s="1"/>
      <c r="D66" s="11"/>
      <c r="E66" s="1"/>
      <c r="F66" s="11"/>
      <c r="G66" s="12"/>
      <c r="H66" s="12"/>
      <c r="I66" s="11"/>
      <c r="J66" s="11"/>
      <c r="K66" s="11"/>
      <c r="L66" s="11"/>
      <c r="M66" s="11"/>
      <c r="N66" s="11"/>
    </row>
    <row r="67" spans="1:14" ht="12.95" hidden="1" customHeight="1" x14ac:dyDescent="0.2">
      <c r="A67" s="10">
        <v>117</v>
      </c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</row>
    <row r="68" spans="1:14" ht="12.95" hidden="1" customHeight="1" x14ac:dyDescent="0.2">
      <c r="A68" s="10">
        <v>118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</row>
    <row r="69" spans="1:14" ht="12.95" hidden="1" customHeight="1" x14ac:dyDescent="0.2">
      <c r="A69" s="10">
        <v>119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</row>
    <row r="70" spans="1:14" ht="12.95" hidden="1" customHeight="1" x14ac:dyDescent="0.2">
      <c r="A70" s="10">
        <v>120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</row>
    <row r="71" spans="1:14" ht="12.95" hidden="1" customHeight="1" x14ac:dyDescent="0.2">
      <c r="A71" s="10">
        <v>121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</row>
    <row r="72" spans="1:14" ht="12.95" hidden="1" customHeight="1" x14ac:dyDescent="0.2">
      <c r="A72" s="10">
        <v>122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>
        <f>SUM(G72:J72)</f>
        <v>0</v>
      </c>
      <c r="M72" s="11"/>
      <c r="N72" s="11"/>
    </row>
    <row r="73" spans="1:14" ht="12.95" hidden="1" customHeight="1" x14ac:dyDescent="0.2">
      <c r="A73" s="10">
        <v>123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>
        <f>SUM(G73:J73)</f>
        <v>0</v>
      </c>
      <c r="M73" s="11"/>
      <c r="N73" s="11"/>
    </row>
    <row r="74" spans="1:14" ht="12.95" customHeight="1" x14ac:dyDescent="0.2">
      <c r="A74" s="14"/>
      <c r="B74" s="15" t="s">
        <v>22</v>
      </c>
      <c r="C74" s="16">
        <f>SUM(C6:C73)</f>
        <v>122400</v>
      </c>
      <c r="D74" s="17">
        <f>F74/C74</f>
        <v>4486.4052287581699</v>
      </c>
      <c r="E74" s="18"/>
      <c r="F74" s="16">
        <f t="shared" ref="F74:M74" si="3">SUM(F6:F73)</f>
        <v>549136000</v>
      </c>
      <c r="G74" s="16">
        <f t="shared" si="3"/>
        <v>0</v>
      </c>
      <c r="H74" s="16">
        <f t="shared" si="3"/>
        <v>0</v>
      </c>
      <c r="I74" s="16">
        <f t="shared" si="3"/>
        <v>8300000</v>
      </c>
      <c r="J74" s="16">
        <f t="shared" si="3"/>
        <v>80851007</v>
      </c>
      <c r="K74" s="16">
        <f t="shared" si="3"/>
        <v>182015506</v>
      </c>
      <c r="L74" s="16">
        <f t="shared" si="3"/>
        <v>271166513</v>
      </c>
      <c r="M74" s="16">
        <f t="shared" si="3"/>
        <v>277969487</v>
      </c>
      <c r="N74" s="16">
        <f>SUM(N6:N73)</f>
        <v>258253821.90476173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J67"/>
  <sheetViews>
    <sheetView topLeftCell="A55" workbookViewId="0">
      <selection activeCell="J67" sqref="J67"/>
    </sheetView>
  </sheetViews>
  <sheetFormatPr defaultColWidth="11.7109375" defaultRowHeight="12.75" x14ac:dyDescent="0.2"/>
  <cols>
    <col min="1" max="1" width="5.42578125" style="2" customWidth="1"/>
    <col min="2" max="2" width="6.7109375" style="2" customWidth="1"/>
    <col min="3" max="3" width="9.85546875" style="2" customWidth="1"/>
    <col min="4" max="4" width="7.140625" style="5" customWidth="1"/>
    <col min="5" max="5" width="24.140625" style="5" customWidth="1"/>
    <col min="6" max="6" width="12.7109375" style="2" customWidth="1"/>
    <col min="7" max="7" width="11.7109375" style="5"/>
    <col min="8" max="8" width="12.5703125" style="5" customWidth="1"/>
    <col min="9" max="16384" width="11.7109375" style="2"/>
  </cols>
  <sheetData>
    <row r="1" spans="1:10" x14ac:dyDescent="0.2">
      <c r="A1" s="1" t="s">
        <v>0</v>
      </c>
      <c r="B1" s="1"/>
      <c r="D1" s="3"/>
      <c r="E1" s="4" t="s">
        <v>45</v>
      </c>
      <c r="F1" s="1"/>
      <c r="G1" s="1"/>
      <c r="I1" s="1"/>
      <c r="J1" s="1"/>
    </row>
    <row r="2" spans="1:10" x14ac:dyDescent="0.2">
      <c r="A2" s="1" t="s">
        <v>4</v>
      </c>
      <c r="B2" s="1"/>
      <c r="D2" s="3"/>
      <c r="E2" s="4" t="s">
        <v>47</v>
      </c>
      <c r="F2" s="1"/>
      <c r="G2" s="1"/>
      <c r="I2" s="1"/>
      <c r="J2" s="1">
        <f>9*4</f>
        <v>36</v>
      </c>
    </row>
    <row r="3" spans="1:10" x14ac:dyDescent="0.2">
      <c r="A3" s="1" t="s">
        <v>7</v>
      </c>
      <c r="B3" s="1"/>
      <c r="D3" s="3"/>
      <c r="E3" s="4"/>
      <c r="F3" s="1"/>
      <c r="G3" s="1"/>
      <c r="H3" s="54" t="s">
        <v>114</v>
      </c>
      <c r="I3" s="1" t="s">
        <v>115</v>
      </c>
      <c r="J3" s="1"/>
    </row>
    <row r="4" spans="1:10" x14ac:dyDescent="0.2">
      <c r="D4" s="3"/>
      <c r="E4" s="3"/>
      <c r="G4" s="3"/>
      <c r="H4" s="3"/>
      <c r="I4" s="1"/>
      <c r="J4" s="1"/>
    </row>
    <row r="5" spans="1:10" s="44" customFormat="1" ht="36" x14ac:dyDescent="0.25">
      <c r="A5" s="42" t="s">
        <v>8</v>
      </c>
      <c r="B5" s="43" t="s">
        <v>9</v>
      </c>
      <c r="C5" s="42" t="s">
        <v>10</v>
      </c>
      <c r="D5" s="42" t="s">
        <v>108</v>
      </c>
      <c r="E5" s="45" t="s">
        <v>12</v>
      </c>
      <c r="F5" s="43" t="s">
        <v>13</v>
      </c>
      <c r="G5" s="42" t="s">
        <v>110</v>
      </c>
      <c r="H5" s="42" t="s">
        <v>112</v>
      </c>
      <c r="I5" s="42" t="s">
        <v>111</v>
      </c>
      <c r="J5" s="42" t="s">
        <v>113</v>
      </c>
    </row>
    <row r="6" spans="1:10" ht="12.95" customHeight="1" x14ac:dyDescent="0.2">
      <c r="A6" s="10">
        <v>1</v>
      </c>
      <c r="B6" s="39">
        <v>102</v>
      </c>
      <c r="C6" s="1">
        <v>2040</v>
      </c>
      <c r="D6" s="11" t="s">
        <v>109</v>
      </c>
      <c r="E6" s="39" t="s">
        <v>48</v>
      </c>
      <c r="F6" s="40">
        <v>8300000</v>
      </c>
      <c r="G6" s="11">
        <f>F6*60/100</f>
        <v>4980000</v>
      </c>
      <c r="H6" s="11">
        <f>1225000+3487000+1096000-920400-273760</f>
        <v>4613840</v>
      </c>
      <c r="I6" s="11">
        <f t="shared" ref="I6:I37" si="0">F6*40/100</f>
        <v>3320000</v>
      </c>
      <c r="J6" s="11">
        <f>920400+273760</f>
        <v>1194160</v>
      </c>
    </row>
    <row r="7" spans="1:10" ht="12.95" customHeight="1" x14ac:dyDescent="0.2">
      <c r="A7" s="10">
        <v>2</v>
      </c>
      <c r="B7" s="39">
        <v>104</v>
      </c>
      <c r="C7" s="1">
        <v>2040</v>
      </c>
      <c r="D7" s="11" t="s">
        <v>109</v>
      </c>
      <c r="E7" s="39" t="s">
        <v>49</v>
      </c>
      <c r="F7" s="40">
        <v>8300000</v>
      </c>
      <c r="G7" s="11">
        <f t="shared" ref="G7:G65" si="1">F7*60/100</f>
        <v>4980000</v>
      </c>
      <c r="H7" s="11">
        <f>1225000+3587000+996000+597600+996000-920400-391760-1109440</f>
        <v>4980000</v>
      </c>
      <c r="I7" s="11">
        <f t="shared" si="0"/>
        <v>3320000</v>
      </c>
      <c r="J7" s="11">
        <f>920400+391760+1109440</f>
        <v>2421600</v>
      </c>
    </row>
    <row r="8" spans="1:10" ht="12.95" customHeight="1" x14ac:dyDescent="0.2">
      <c r="A8" s="10">
        <v>3</v>
      </c>
      <c r="B8" s="39">
        <v>106</v>
      </c>
      <c r="C8" s="1">
        <v>2040</v>
      </c>
      <c r="D8" s="11" t="s">
        <v>109</v>
      </c>
      <c r="E8" s="39" t="s">
        <v>50</v>
      </c>
      <c r="F8" s="40">
        <v>8400000</v>
      </c>
      <c r="G8" s="11">
        <f t="shared" si="1"/>
        <v>5040000</v>
      </c>
      <c r="H8" s="11">
        <f>4876000+108000</f>
        <v>4984000</v>
      </c>
      <c r="I8" s="11">
        <f t="shared" si="0"/>
        <v>3360000</v>
      </c>
      <c r="J8" s="11">
        <v>932200</v>
      </c>
    </row>
    <row r="9" spans="1:10" ht="12.95" customHeight="1" x14ac:dyDescent="0.2">
      <c r="A9" s="10">
        <v>4</v>
      </c>
      <c r="B9" s="39">
        <v>108</v>
      </c>
      <c r="C9" s="1">
        <v>2040</v>
      </c>
      <c r="D9" s="11" t="s">
        <v>109</v>
      </c>
      <c r="E9" s="39" t="s">
        <v>51</v>
      </c>
      <c r="F9" s="40">
        <v>9100000</v>
      </c>
      <c r="G9" s="11">
        <f t="shared" si="1"/>
        <v>5460000</v>
      </c>
      <c r="H9" s="11">
        <f>1225000+2600000</f>
        <v>3825000</v>
      </c>
      <c r="I9" s="11">
        <f t="shared" si="0"/>
        <v>3640000</v>
      </c>
      <c r="J9" s="11">
        <v>0</v>
      </c>
    </row>
    <row r="10" spans="1:10" ht="12.95" customHeight="1" x14ac:dyDescent="0.2">
      <c r="A10" s="10">
        <v>5</v>
      </c>
      <c r="B10" s="39">
        <v>110</v>
      </c>
      <c r="C10" s="1">
        <v>2040</v>
      </c>
      <c r="D10" s="11" t="s">
        <v>109</v>
      </c>
      <c r="E10" s="39" t="s">
        <v>52</v>
      </c>
      <c r="F10" s="40">
        <v>8200000</v>
      </c>
      <c r="G10" s="11">
        <f t="shared" si="1"/>
        <v>4920000</v>
      </c>
      <c r="H10" s="11">
        <f>1225000+3523000-908600+984000</f>
        <v>4823400</v>
      </c>
      <c r="I10" s="11">
        <f t="shared" si="0"/>
        <v>3280000</v>
      </c>
      <c r="J10" s="11">
        <v>908600</v>
      </c>
    </row>
    <row r="11" spans="1:10" ht="12.95" customHeight="1" x14ac:dyDescent="0.2">
      <c r="A11" s="10">
        <v>6</v>
      </c>
      <c r="B11" s="39">
        <v>112</v>
      </c>
      <c r="C11" s="1">
        <v>2040</v>
      </c>
      <c r="D11" s="11" t="s">
        <v>109</v>
      </c>
      <c r="E11" s="39" t="s">
        <v>53</v>
      </c>
      <c r="F11" s="40">
        <v>8300000</v>
      </c>
      <c r="G11" s="11">
        <f t="shared" si="1"/>
        <v>4980000</v>
      </c>
      <c r="H11" s="11">
        <f>2965000+2900000-920400</f>
        <v>4944600</v>
      </c>
      <c r="I11" s="11">
        <f t="shared" si="0"/>
        <v>3320000</v>
      </c>
      <c r="J11" s="11">
        <v>920400</v>
      </c>
    </row>
    <row r="12" spans="1:10" ht="12.95" customHeight="1" x14ac:dyDescent="0.2">
      <c r="A12" s="10">
        <v>7</v>
      </c>
      <c r="B12" s="39">
        <v>114</v>
      </c>
      <c r="C12" s="1">
        <v>2040</v>
      </c>
      <c r="D12" s="11" t="s">
        <v>109</v>
      </c>
      <c r="E12" s="39" t="s">
        <v>54</v>
      </c>
      <c r="F12" s="40">
        <v>8500000</v>
      </c>
      <c r="G12" s="11">
        <f t="shared" si="1"/>
        <v>5100000</v>
      </c>
      <c r="H12" s="11">
        <f>1225000+6056249-944000-1237249</f>
        <v>5100000</v>
      </c>
      <c r="I12" s="11">
        <f t="shared" si="0"/>
        <v>3400000</v>
      </c>
      <c r="J12" s="11">
        <f>944000+1237249</f>
        <v>2181249</v>
      </c>
    </row>
    <row r="13" spans="1:10" ht="12.95" customHeight="1" x14ac:dyDescent="0.2">
      <c r="A13" s="10">
        <v>8</v>
      </c>
      <c r="B13" s="39">
        <v>116</v>
      </c>
      <c r="C13" s="1">
        <v>2040</v>
      </c>
      <c r="D13" s="11" t="s">
        <v>109</v>
      </c>
      <c r="E13" s="39" t="s">
        <v>55</v>
      </c>
      <c r="F13" s="40">
        <v>8300000</v>
      </c>
      <c r="G13" s="11">
        <f t="shared" si="1"/>
        <v>4980000</v>
      </c>
      <c r="H13" s="11">
        <f>1225000+3587000+996000+996000+597600-1312160-1109440</f>
        <v>4980000</v>
      </c>
      <c r="I13" s="11">
        <f t="shared" si="0"/>
        <v>3320000</v>
      </c>
      <c r="J13" s="11">
        <f>920400+391760+1109440</f>
        <v>2421600</v>
      </c>
    </row>
    <row r="14" spans="1:10" ht="12.95" customHeight="1" x14ac:dyDescent="0.2">
      <c r="A14" s="10">
        <v>9</v>
      </c>
      <c r="B14" s="39">
        <v>118</v>
      </c>
      <c r="C14" s="1">
        <v>2040</v>
      </c>
      <c r="D14" s="11" t="s">
        <v>109</v>
      </c>
      <c r="E14" s="39" t="s">
        <v>56</v>
      </c>
      <c r="F14" s="40">
        <v>8300000</v>
      </c>
      <c r="G14" s="11">
        <f t="shared" si="1"/>
        <v>4980000</v>
      </c>
      <c r="H14" s="11">
        <f>225000+200000+300000+500000+3587000+996000-920400</f>
        <v>4887600</v>
      </c>
      <c r="I14" s="11">
        <f t="shared" si="0"/>
        <v>3320000</v>
      </c>
      <c r="J14" s="11">
        <v>920400</v>
      </c>
    </row>
    <row r="15" spans="1:10" ht="12.95" customHeight="1" x14ac:dyDescent="0.2">
      <c r="A15" s="10">
        <v>10</v>
      </c>
      <c r="B15" s="39">
        <v>120</v>
      </c>
      <c r="C15" s="1">
        <v>2040</v>
      </c>
      <c r="D15" s="11" t="s">
        <v>109</v>
      </c>
      <c r="E15" s="39" t="s">
        <v>57</v>
      </c>
      <c r="F15" s="40">
        <v>8300000</v>
      </c>
      <c r="G15" s="11">
        <f t="shared" si="1"/>
        <v>4980000</v>
      </c>
      <c r="H15" s="11">
        <f>275000+1000000+3587000</f>
        <v>4862000</v>
      </c>
      <c r="I15" s="11">
        <f t="shared" si="0"/>
        <v>3320000</v>
      </c>
      <c r="J15" s="11">
        <v>0</v>
      </c>
    </row>
    <row r="16" spans="1:10" ht="12.95" customHeight="1" x14ac:dyDescent="0.2">
      <c r="A16" s="10">
        <v>11</v>
      </c>
      <c r="B16" s="39">
        <v>122</v>
      </c>
      <c r="C16" s="1">
        <v>2040</v>
      </c>
      <c r="D16" s="11" t="s">
        <v>109</v>
      </c>
      <c r="E16" s="39" t="s">
        <v>58</v>
      </c>
      <c r="F16" s="40">
        <v>8200000</v>
      </c>
      <c r="G16" s="11">
        <f t="shared" si="1"/>
        <v>4920000</v>
      </c>
      <c r="H16" s="11">
        <f>1225000+3523000+984000-908600</f>
        <v>4823400</v>
      </c>
      <c r="I16" s="11">
        <f t="shared" si="0"/>
        <v>3280000</v>
      </c>
      <c r="J16" s="11">
        <v>908600</v>
      </c>
    </row>
    <row r="17" spans="1:10" ht="12.95" customHeight="1" x14ac:dyDescent="0.2">
      <c r="A17" s="10">
        <v>12</v>
      </c>
      <c r="B17" s="39">
        <v>124</v>
      </c>
      <c r="C17" s="1">
        <v>2040</v>
      </c>
      <c r="D17" s="11" t="s">
        <v>109</v>
      </c>
      <c r="E17" s="39" t="s">
        <v>59</v>
      </c>
      <c r="F17" s="40">
        <v>8500000</v>
      </c>
      <c r="G17" s="11">
        <f t="shared" si="1"/>
        <v>5100000</v>
      </c>
      <c r="H17" s="11">
        <f>25000+500000+200000+1000000+3215000+275000+1020000-944000-944000</f>
        <v>4347000</v>
      </c>
      <c r="I17" s="11">
        <f t="shared" si="0"/>
        <v>3400000</v>
      </c>
      <c r="J17" s="11">
        <f>944000+944000</f>
        <v>1888000</v>
      </c>
    </row>
    <row r="18" spans="1:10" ht="12.95" customHeight="1" x14ac:dyDescent="0.2">
      <c r="A18" s="10">
        <v>13</v>
      </c>
      <c r="B18" s="39">
        <v>126</v>
      </c>
      <c r="C18" s="1">
        <v>2040</v>
      </c>
      <c r="D18" s="11" t="s">
        <v>109</v>
      </c>
      <c r="E18" s="39" t="s">
        <v>60</v>
      </c>
      <c r="F18" s="40">
        <v>8200000</v>
      </c>
      <c r="G18" s="11">
        <f t="shared" si="1"/>
        <v>4920000</v>
      </c>
      <c r="H18" s="11">
        <f>225000+5630000-908600-908600+900000-17800</f>
        <v>4920000</v>
      </c>
      <c r="I18" s="11">
        <f t="shared" si="0"/>
        <v>3280000</v>
      </c>
      <c r="J18" s="11">
        <f>908600+908600+17800</f>
        <v>1835000</v>
      </c>
    </row>
    <row r="19" spans="1:10" ht="12.95" customHeight="1" x14ac:dyDescent="0.2">
      <c r="A19" s="10">
        <v>14</v>
      </c>
      <c r="B19" s="39">
        <v>128</v>
      </c>
      <c r="C19" s="1">
        <v>2040</v>
      </c>
      <c r="D19" s="11" t="s">
        <v>109</v>
      </c>
      <c r="E19" s="39" t="s">
        <v>61</v>
      </c>
      <c r="F19" s="40">
        <v>9810000</v>
      </c>
      <c r="G19" s="11">
        <f t="shared" si="1"/>
        <v>5886000</v>
      </c>
      <c r="H19" s="11">
        <f>9810000-3924000</f>
        <v>5886000</v>
      </c>
      <c r="I19" s="11">
        <f t="shared" si="0"/>
        <v>3924000</v>
      </c>
      <c r="J19" s="11">
        <f>3924000</f>
        <v>3924000</v>
      </c>
    </row>
    <row r="20" spans="1:10" ht="12.95" customHeight="1" x14ac:dyDescent="0.2">
      <c r="A20" s="10">
        <v>15</v>
      </c>
      <c r="B20" s="39">
        <v>129</v>
      </c>
      <c r="C20" s="1">
        <v>2040</v>
      </c>
      <c r="D20" s="11" t="s">
        <v>109</v>
      </c>
      <c r="E20" s="39" t="s">
        <v>62</v>
      </c>
      <c r="F20" s="40">
        <v>10120000</v>
      </c>
      <c r="G20" s="11">
        <f t="shared" si="1"/>
        <v>6072000</v>
      </c>
      <c r="H20" s="11">
        <f>10125000-4053000</f>
        <v>6072000</v>
      </c>
      <c r="I20" s="11">
        <f t="shared" si="0"/>
        <v>4048000</v>
      </c>
      <c r="J20" s="11">
        <f>4053000</f>
        <v>4053000</v>
      </c>
    </row>
    <row r="21" spans="1:10" ht="12.95" customHeight="1" x14ac:dyDescent="0.2">
      <c r="A21" s="10">
        <v>16</v>
      </c>
      <c r="B21" s="39">
        <v>131</v>
      </c>
      <c r="C21" s="1">
        <v>2040</v>
      </c>
      <c r="D21" s="11" t="s">
        <v>109</v>
      </c>
      <c r="E21" s="39" t="s">
        <v>63</v>
      </c>
      <c r="F21" s="40">
        <v>8300000</v>
      </c>
      <c r="G21" s="11">
        <f t="shared" si="1"/>
        <v>4980000</v>
      </c>
      <c r="H21" s="11">
        <f>225000+300000+4287000+446000+550000+497500+100000-920400-844800</f>
        <v>4640300</v>
      </c>
      <c r="I21" s="11">
        <f t="shared" si="0"/>
        <v>3320000</v>
      </c>
      <c r="J21" s="11">
        <f>920400+844800</f>
        <v>1765200</v>
      </c>
    </row>
    <row r="22" spans="1:10" ht="12.95" customHeight="1" x14ac:dyDescent="0.2">
      <c r="A22" s="10">
        <v>17</v>
      </c>
      <c r="B22" s="39">
        <v>133</v>
      </c>
      <c r="C22" s="1">
        <v>2040</v>
      </c>
      <c r="D22" s="11" t="s">
        <v>109</v>
      </c>
      <c r="E22" s="39" t="s">
        <v>64</v>
      </c>
      <c r="F22" s="40">
        <v>8300000</v>
      </c>
      <c r="G22" s="11">
        <f t="shared" si="1"/>
        <v>4980000</v>
      </c>
      <c r="H22" s="11">
        <f>1225000+3575000+500000+508000-920400</f>
        <v>4887600</v>
      </c>
      <c r="I22" s="11">
        <f t="shared" si="0"/>
        <v>3320000</v>
      </c>
      <c r="J22" s="11">
        <v>920400</v>
      </c>
    </row>
    <row r="23" spans="1:10" ht="12.95" customHeight="1" x14ac:dyDescent="0.2">
      <c r="A23" s="10">
        <v>18</v>
      </c>
      <c r="B23" s="39">
        <v>135</v>
      </c>
      <c r="C23" s="1">
        <v>2040</v>
      </c>
      <c r="D23" s="11" t="s">
        <v>109</v>
      </c>
      <c r="E23" s="39" t="s">
        <v>65</v>
      </c>
      <c r="F23" s="40">
        <v>9100000</v>
      </c>
      <c r="G23" s="11">
        <f t="shared" si="1"/>
        <v>5460000</v>
      </c>
      <c r="H23" s="11">
        <f>5324000+1092000-1014800</f>
        <v>5401200</v>
      </c>
      <c r="I23" s="11">
        <f t="shared" si="0"/>
        <v>3640000</v>
      </c>
      <c r="J23" s="11">
        <v>1014800</v>
      </c>
    </row>
    <row r="24" spans="1:10" ht="12.95" customHeight="1" x14ac:dyDescent="0.2">
      <c r="A24" s="10">
        <v>19</v>
      </c>
      <c r="B24" s="39">
        <v>137</v>
      </c>
      <c r="C24" s="1">
        <v>2040</v>
      </c>
      <c r="D24" s="11" t="s">
        <v>109</v>
      </c>
      <c r="E24" s="39" t="s">
        <v>66</v>
      </c>
      <c r="F24" s="40">
        <v>9000000</v>
      </c>
      <c r="G24" s="11">
        <f t="shared" si="1"/>
        <v>5400000</v>
      </c>
      <c r="H24" s="11">
        <f>225000+1000000+4035000+1080000-940000</f>
        <v>5400000</v>
      </c>
      <c r="I24" s="11">
        <f t="shared" si="0"/>
        <v>3600000</v>
      </c>
      <c r="J24" s="11">
        <f>940000</f>
        <v>940000</v>
      </c>
    </row>
    <row r="25" spans="1:10" ht="12.95" customHeight="1" x14ac:dyDescent="0.2">
      <c r="A25" s="10">
        <v>20</v>
      </c>
      <c r="B25" s="39">
        <v>139</v>
      </c>
      <c r="C25" s="1">
        <v>2040</v>
      </c>
      <c r="D25" s="11" t="s">
        <v>109</v>
      </c>
      <c r="E25" s="39" t="s">
        <v>67</v>
      </c>
      <c r="F25" s="40">
        <v>9100000</v>
      </c>
      <c r="G25" s="11">
        <f t="shared" si="1"/>
        <v>5460000</v>
      </c>
      <c r="H25" s="11">
        <f>225000+500000+500000+4099000+1092000-956000</f>
        <v>5460000</v>
      </c>
      <c r="I25" s="11">
        <f t="shared" si="0"/>
        <v>3640000</v>
      </c>
      <c r="J25" s="11">
        <f>956000</f>
        <v>956000</v>
      </c>
    </row>
    <row r="26" spans="1:10" ht="12.95" customHeight="1" x14ac:dyDescent="0.2">
      <c r="A26" s="10">
        <v>21</v>
      </c>
      <c r="B26" s="39">
        <v>141</v>
      </c>
      <c r="C26" s="1">
        <v>2040</v>
      </c>
      <c r="D26" s="11" t="s">
        <v>109</v>
      </c>
      <c r="E26" s="39" t="s">
        <v>68</v>
      </c>
      <c r="F26" s="40">
        <v>9150000</v>
      </c>
      <c r="G26" s="11">
        <f t="shared" si="1"/>
        <v>5490000</v>
      </c>
      <c r="H26" s="11">
        <f>1225000+500000+340000+260000+500000+1206000+500000+500000+325000</f>
        <v>5356000</v>
      </c>
      <c r="I26" s="11">
        <f t="shared" si="0"/>
        <v>3660000</v>
      </c>
      <c r="J26" s="11">
        <v>0</v>
      </c>
    </row>
    <row r="27" spans="1:10" ht="12.95" customHeight="1" x14ac:dyDescent="0.2">
      <c r="A27" s="10">
        <v>22</v>
      </c>
      <c r="B27" s="39">
        <v>142</v>
      </c>
      <c r="C27" s="1">
        <v>2040</v>
      </c>
      <c r="D27" s="11" t="s">
        <v>109</v>
      </c>
      <c r="E27" s="39" t="s">
        <v>69</v>
      </c>
      <c r="F27" s="40">
        <v>9100000</v>
      </c>
      <c r="G27" s="11">
        <f t="shared" si="1"/>
        <v>5460000</v>
      </c>
      <c r="H27" s="11">
        <f>1225000+4099000+1092000-956000</f>
        <v>5460000</v>
      </c>
      <c r="I27" s="11">
        <f t="shared" si="0"/>
        <v>3640000</v>
      </c>
      <c r="J27" s="11">
        <f>956000</f>
        <v>956000</v>
      </c>
    </row>
    <row r="28" spans="1:10" ht="12.95" customHeight="1" x14ac:dyDescent="0.2">
      <c r="A28" s="10">
        <v>23</v>
      </c>
      <c r="B28" s="39">
        <v>143</v>
      </c>
      <c r="C28" s="1">
        <v>2040</v>
      </c>
      <c r="D28" s="11" t="s">
        <v>109</v>
      </c>
      <c r="E28" s="39" t="s">
        <v>70</v>
      </c>
      <c r="F28" s="40">
        <v>9000000</v>
      </c>
      <c r="G28" s="11">
        <f t="shared" si="1"/>
        <v>5400000</v>
      </c>
      <c r="H28" s="11">
        <f>1225000+6775000-2600000</f>
        <v>5400000</v>
      </c>
      <c r="I28" s="11">
        <f t="shared" si="0"/>
        <v>3600000</v>
      </c>
      <c r="J28" s="11">
        <f>2600000</f>
        <v>2600000</v>
      </c>
    </row>
    <row r="29" spans="1:10" ht="12.95" customHeight="1" x14ac:dyDescent="0.2">
      <c r="A29" s="10">
        <v>24</v>
      </c>
      <c r="B29" s="39">
        <v>144</v>
      </c>
      <c r="C29" s="1">
        <v>2040</v>
      </c>
      <c r="D29" s="11" t="s">
        <v>109</v>
      </c>
      <c r="E29" s="39" t="s">
        <v>71</v>
      </c>
      <c r="F29" s="40">
        <v>9070000</v>
      </c>
      <c r="G29" s="11">
        <f t="shared" si="1"/>
        <v>5442000</v>
      </c>
      <c r="H29" s="11">
        <f>425000+2100000</f>
        <v>2525000</v>
      </c>
      <c r="I29" s="11">
        <f t="shared" si="0"/>
        <v>3628000</v>
      </c>
      <c r="J29" s="11">
        <v>0</v>
      </c>
    </row>
    <row r="30" spans="1:10" ht="12.95" customHeight="1" x14ac:dyDescent="0.2">
      <c r="A30" s="10">
        <v>25</v>
      </c>
      <c r="B30" s="39">
        <v>145</v>
      </c>
      <c r="C30" s="1">
        <v>2040</v>
      </c>
      <c r="D30" s="11" t="s">
        <v>109</v>
      </c>
      <c r="E30" s="39" t="s">
        <v>72</v>
      </c>
      <c r="F30" s="40">
        <v>9100000</v>
      </c>
      <c r="G30" s="11">
        <f t="shared" si="1"/>
        <v>5460000</v>
      </c>
      <c r="H30" s="11">
        <f>1225000+4099000</f>
        <v>5324000</v>
      </c>
      <c r="I30" s="11">
        <f t="shared" si="0"/>
        <v>3640000</v>
      </c>
      <c r="J30" s="11">
        <v>0</v>
      </c>
    </row>
    <row r="31" spans="1:10" ht="12.95" customHeight="1" x14ac:dyDescent="0.2">
      <c r="A31" s="10">
        <v>26</v>
      </c>
      <c r="B31" s="39">
        <v>148</v>
      </c>
      <c r="C31" s="1">
        <v>2040</v>
      </c>
      <c r="D31" s="11" t="s">
        <v>109</v>
      </c>
      <c r="E31" s="39" t="s">
        <v>73</v>
      </c>
      <c r="F31" s="40">
        <v>8930000</v>
      </c>
      <c r="G31" s="11">
        <f t="shared" si="1"/>
        <v>5358000</v>
      </c>
      <c r="H31" s="11">
        <f>2725000+2500000</f>
        <v>5225000</v>
      </c>
      <c r="I31" s="11">
        <f t="shared" si="0"/>
        <v>3572000</v>
      </c>
      <c r="J31" s="11">
        <v>0</v>
      </c>
    </row>
    <row r="32" spans="1:10" ht="12.95" customHeight="1" x14ac:dyDescent="0.2">
      <c r="A32" s="10">
        <v>27</v>
      </c>
      <c r="B32" s="39">
        <v>149</v>
      </c>
      <c r="C32" s="1">
        <v>2040</v>
      </c>
      <c r="D32" s="11" t="s">
        <v>109</v>
      </c>
      <c r="E32" s="39" t="s">
        <v>74</v>
      </c>
      <c r="F32" s="40">
        <v>8600000</v>
      </c>
      <c r="G32" s="11">
        <f t="shared" si="1"/>
        <v>5160000</v>
      </c>
      <c r="H32" s="11">
        <f>1225000+3779000</f>
        <v>5004000</v>
      </c>
      <c r="I32" s="11">
        <f t="shared" si="0"/>
        <v>3440000</v>
      </c>
      <c r="J32" s="11">
        <v>0</v>
      </c>
    </row>
    <row r="33" spans="1:10" ht="12.95" customHeight="1" x14ac:dyDescent="0.2">
      <c r="A33" s="10">
        <v>28</v>
      </c>
      <c r="B33" s="39">
        <v>150</v>
      </c>
      <c r="C33" s="1">
        <v>2040</v>
      </c>
      <c r="D33" s="11" t="s">
        <v>109</v>
      </c>
      <c r="E33" s="39" t="s">
        <v>75</v>
      </c>
      <c r="F33" s="40">
        <v>8600000</v>
      </c>
      <c r="G33" s="11">
        <f t="shared" si="1"/>
        <v>5160000</v>
      </c>
      <c r="H33" s="11">
        <f>1225001</f>
        <v>1225001</v>
      </c>
      <c r="I33" s="11">
        <f t="shared" si="0"/>
        <v>3440000</v>
      </c>
      <c r="J33" s="11">
        <v>0</v>
      </c>
    </row>
    <row r="34" spans="1:10" ht="12.95" customHeight="1" x14ac:dyDescent="0.2">
      <c r="A34" s="10">
        <v>29</v>
      </c>
      <c r="B34" s="39">
        <v>151</v>
      </c>
      <c r="C34" s="1">
        <v>2040</v>
      </c>
      <c r="D34" s="11" t="s">
        <v>109</v>
      </c>
      <c r="E34" s="39" t="s">
        <v>76</v>
      </c>
      <c r="F34" s="40">
        <v>8600000</v>
      </c>
      <c r="G34" s="11">
        <f t="shared" si="1"/>
        <v>5160000</v>
      </c>
      <c r="H34" s="11">
        <f>1225007</f>
        <v>1225007</v>
      </c>
      <c r="I34" s="11">
        <f t="shared" si="0"/>
        <v>3440000</v>
      </c>
      <c r="J34" s="11">
        <v>0</v>
      </c>
    </row>
    <row r="35" spans="1:10" ht="12.95" customHeight="1" x14ac:dyDescent="0.2">
      <c r="A35" s="10">
        <v>30</v>
      </c>
      <c r="B35" s="39">
        <v>152</v>
      </c>
      <c r="C35" s="1">
        <v>2040</v>
      </c>
      <c r="D35" s="11" t="s">
        <v>109</v>
      </c>
      <c r="E35" s="39" t="s">
        <v>77</v>
      </c>
      <c r="F35" s="40">
        <v>9381000</v>
      </c>
      <c r="G35" s="11">
        <f t="shared" si="1"/>
        <v>5628600</v>
      </c>
      <c r="H35" s="11">
        <f>1200000+4310000</f>
        <v>5510000</v>
      </c>
      <c r="I35" s="11">
        <f t="shared" si="0"/>
        <v>3752400</v>
      </c>
      <c r="J35" s="11">
        <v>0</v>
      </c>
    </row>
    <row r="36" spans="1:10" ht="12.95" customHeight="1" x14ac:dyDescent="0.2">
      <c r="A36" s="10">
        <v>31</v>
      </c>
      <c r="B36" s="39">
        <v>153</v>
      </c>
      <c r="C36" s="1">
        <v>2040</v>
      </c>
      <c r="D36" s="11" t="s">
        <v>109</v>
      </c>
      <c r="E36" s="39" t="s">
        <v>78</v>
      </c>
      <c r="F36" s="40">
        <v>9100000</v>
      </c>
      <c r="G36" s="11">
        <f t="shared" si="1"/>
        <v>5460000</v>
      </c>
      <c r="H36" s="11">
        <f>1200000+200000</f>
        <v>1400000</v>
      </c>
      <c r="I36" s="11">
        <f t="shared" si="0"/>
        <v>3640000</v>
      </c>
      <c r="J36" s="11">
        <v>0</v>
      </c>
    </row>
    <row r="37" spans="1:10" ht="12.95" customHeight="1" x14ac:dyDescent="0.2">
      <c r="A37" s="10">
        <v>32</v>
      </c>
      <c r="B37" s="39">
        <v>154</v>
      </c>
      <c r="C37" s="1">
        <v>2040</v>
      </c>
      <c r="D37" s="11" t="s">
        <v>109</v>
      </c>
      <c r="E37" s="39" t="s">
        <v>79</v>
      </c>
      <c r="F37" s="40">
        <v>9100000</v>
      </c>
      <c r="G37" s="11">
        <f t="shared" si="1"/>
        <v>5460000</v>
      </c>
      <c r="H37" s="11">
        <f>1225000+1400000</f>
        <v>2625000</v>
      </c>
      <c r="I37" s="11">
        <f t="shared" si="0"/>
        <v>3640000</v>
      </c>
      <c r="J37" s="11">
        <v>0</v>
      </c>
    </row>
    <row r="38" spans="1:10" ht="12.95" customHeight="1" x14ac:dyDescent="0.2">
      <c r="A38" s="10">
        <v>33</v>
      </c>
      <c r="B38" s="39">
        <v>155</v>
      </c>
      <c r="C38" s="1">
        <v>2040</v>
      </c>
      <c r="D38" s="11" t="s">
        <v>109</v>
      </c>
      <c r="E38" s="39" t="s">
        <v>80</v>
      </c>
      <c r="F38" s="40">
        <v>8850000</v>
      </c>
      <c r="G38" s="11">
        <f t="shared" si="1"/>
        <v>5310000</v>
      </c>
      <c r="H38" s="11">
        <f>1225000+3939000</f>
        <v>5164000</v>
      </c>
      <c r="I38" s="11">
        <f t="shared" ref="I38:I65" si="2">F38*40/100</f>
        <v>3540000</v>
      </c>
      <c r="J38" s="11">
        <v>0</v>
      </c>
    </row>
    <row r="39" spans="1:10" ht="12.95" customHeight="1" x14ac:dyDescent="0.2">
      <c r="A39" s="10">
        <v>34</v>
      </c>
      <c r="B39" s="39">
        <v>156</v>
      </c>
      <c r="C39" s="1">
        <v>2040</v>
      </c>
      <c r="D39" s="11" t="s">
        <v>109</v>
      </c>
      <c r="E39" s="39" t="s">
        <v>81</v>
      </c>
      <c r="F39" s="40">
        <v>7350000</v>
      </c>
      <c r="G39" s="11">
        <f t="shared" si="1"/>
        <v>4410000</v>
      </c>
      <c r="H39" s="11">
        <f>1225000+2979000</f>
        <v>4204000</v>
      </c>
      <c r="I39" s="11">
        <f t="shared" si="2"/>
        <v>2940000</v>
      </c>
      <c r="J39" s="11">
        <v>0</v>
      </c>
    </row>
    <row r="40" spans="1:10" ht="12.95" customHeight="1" x14ac:dyDescent="0.2">
      <c r="A40" s="10">
        <v>35</v>
      </c>
      <c r="B40" s="39">
        <v>157</v>
      </c>
      <c r="C40" s="1">
        <v>2040</v>
      </c>
      <c r="D40" s="11" t="s">
        <v>109</v>
      </c>
      <c r="E40" s="39" t="s">
        <v>82</v>
      </c>
      <c r="F40" s="40">
        <v>8850000</v>
      </c>
      <c r="G40" s="11">
        <f t="shared" si="1"/>
        <v>5310000</v>
      </c>
      <c r="H40" s="11">
        <f>1225000+3939000</f>
        <v>5164000</v>
      </c>
      <c r="I40" s="11">
        <f t="shared" si="2"/>
        <v>3540000</v>
      </c>
      <c r="J40" s="11">
        <v>0</v>
      </c>
    </row>
    <row r="41" spans="1:10" ht="12.95" customHeight="1" x14ac:dyDescent="0.2">
      <c r="A41" s="10">
        <v>36</v>
      </c>
      <c r="B41" s="39">
        <v>158</v>
      </c>
      <c r="C41" s="1">
        <v>2040</v>
      </c>
      <c r="D41" s="11" t="s">
        <v>109</v>
      </c>
      <c r="E41" s="39" t="s">
        <v>83</v>
      </c>
      <c r="F41" s="40">
        <v>9800000</v>
      </c>
      <c r="G41" s="11">
        <f t="shared" si="1"/>
        <v>5880000</v>
      </c>
      <c r="H41" s="11">
        <f>1225000</f>
        <v>1225000</v>
      </c>
      <c r="I41" s="11">
        <f t="shared" si="2"/>
        <v>3920000</v>
      </c>
      <c r="J41" s="11">
        <v>0</v>
      </c>
    </row>
    <row r="42" spans="1:10" ht="12.95" customHeight="1" x14ac:dyDescent="0.2">
      <c r="A42" s="10">
        <v>37</v>
      </c>
      <c r="B42" s="39">
        <v>159</v>
      </c>
      <c r="C42" s="1">
        <v>2040</v>
      </c>
      <c r="D42" s="11" t="s">
        <v>109</v>
      </c>
      <c r="E42" s="39" t="s">
        <v>84</v>
      </c>
      <c r="F42" s="40">
        <v>8600000</v>
      </c>
      <c r="G42" s="11">
        <f t="shared" si="1"/>
        <v>5160000</v>
      </c>
      <c r="H42" s="11">
        <f>1225002</f>
        <v>1225002</v>
      </c>
      <c r="I42" s="11">
        <f t="shared" si="2"/>
        <v>3440000</v>
      </c>
      <c r="J42" s="11">
        <v>0</v>
      </c>
    </row>
    <row r="43" spans="1:10" ht="12.95" customHeight="1" x14ac:dyDescent="0.2">
      <c r="A43" s="10">
        <v>38</v>
      </c>
      <c r="B43" s="39">
        <v>160</v>
      </c>
      <c r="C43" s="1">
        <v>2040</v>
      </c>
      <c r="D43" s="11" t="s">
        <v>109</v>
      </c>
      <c r="E43" s="39" t="s">
        <v>85</v>
      </c>
      <c r="F43" s="40">
        <v>7725000</v>
      </c>
      <c r="G43" s="11">
        <f t="shared" si="1"/>
        <v>4635000</v>
      </c>
      <c r="H43" s="11">
        <v>4444000</v>
      </c>
      <c r="I43" s="11">
        <f t="shared" si="2"/>
        <v>3090000</v>
      </c>
      <c r="J43" s="11">
        <v>0</v>
      </c>
    </row>
    <row r="44" spans="1:10" ht="12.95" customHeight="1" x14ac:dyDescent="0.2">
      <c r="A44" s="10">
        <v>39</v>
      </c>
      <c r="B44" s="39">
        <v>161</v>
      </c>
      <c r="C44" s="1">
        <v>2040</v>
      </c>
      <c r="D44" s="11" t="s">
        <v>109</v>
      </c>
      <c r="E44" s="39" t="s">
        <v>86</v>
      </c>
      <c r="F44" s="40">
        <v>10900000</v>
      </c>
      <c r="G44" s="11">
        <f t="shared" si="1"/>
        <v>6540000</v>
      </c>
      <c r="H44" s="11">
        <v>2355000</v>
      </c>
      <c r="I44" s="11">
        <f t="shared" si="2"/>
        <v>4360000</v>
      </c>
      <c r="J44" s="11">
        <v>0</v>
      </c>
    </row>
    <row r="45" spans="1:10" ht="12.95" customHeight="1" x14ac:dyDescent="0.2">
      <c r="A45" s="10">
        <v>40</v>
      </c>
      <c r="B45" s="39">
        <v>162</v>
      </c>
      <c r="C45" s="1">
        <v>2040</v>
      </c>
      <c r="D45" s="11" t="s">
        <v>109</v>
      </c>
      <c r="E45" s="39" t="s">
        <v>87</v>
      </c>
      <c r="F45" s="40">
        <v>7850000</v>
      </c>
      <c r="G45" s="11">
        <f t="shared" si="1"/>
        <v>4710000</v>
      </c>
      <c r="H45" s="11">
        <f>1225000+4900000-1415000</f>
        <v>4710000</v>
      </c>
      <c r="I45" s="11">
        <f t="shared" si="2"/>
        <v>3140000</v>
      </c>
      <c r="J45" s="11">
        <f>1415000</f>
        <v>1415000</v>
      </c>
    </row>
    <row r="46" spans="1:10" ht="12.95" customHeight="1" x14ac:dyDescent="0.2">
      <c r="A46" s="10">
        <v>41</v>
      </c>
      <c r="B46" s="39">
        <v>163</v>
      </c>
      <c r="C46" s="1">
        <v>2040</v>
      </c>
      <c r="D46" s="11" t="s">
        <v>109</v>
      </c>
      <c r="E46" s="39" t="s">
        <v>88</v>
      </c>
      <c r="F46" s="40">
        <v>9700000</v>
      </c>
      <c r="G46" s="11">
        <f t="shared" si="1"/>
        <v>5820000</v>
      </c>
      <c r="H46" s="11">
        <f>6872000-1052000</f>
        <v>5820000</v>
      </c>
      <c r="I46" s="11">
        <f t="shared" si="2"/>
        <v>3880000</v>
      </c>
      <c r="J46" s="11">
        <f>1052000</f>
        <v>1052000</v>
      </c>
    </row>
    <row r="47" spans="1:10" ht="12.95" customHeight="1" x14ac:dyDescent="0.2">
      <c r="A47" s="10">
        <v>42</v>
      </c>
      <c r="B47" s="39">
        <v>164</v>
      </c>
      <c r="C47" s="1">
        <v>2040</v>
      </c>
      <c r="D47" s="11" t="s">
        <v>109</v>
      </c>
      <c r="E47" s="39" t="s">
        <v>89</v>
      </c>
      <c r="F47" s="40">
        <v>8300000</v>
      </c>
      <c r="G47" s="11">
        <f t="shared" si="1"/>
        <v>4980000</v>
      </c>
      <c r="H47" s="11">
        <v>725001</v>
      </c>
      <c r="I47" s="11">
        <f t="shared" si="2"/>
        <v>3320000</v>
      </c>
      <c r="J47" s="11">
        <v>0</v>
      </c>
    </row>
    <row r="48" spans="1:10" ht="12.95" customHeight="1" x14ac:dyDescent="0.2">
      <c r="A48" s="10">
        <v>43</v>
      </c>
      <c r="B48" s="39">
        <v>165</v>
      </c>
      <c r="C48" s="1">
        <v>2040</v>
      </c>
      <c r="D48" s="11" t="s">
        <v>109</v>
      </c>
      <c r="E48" s="39" t="s">
        <v>90</v>
      </c>
      <c r="F48" s="40">
        <v>5000000</v>
      </c>
      <c r="G48" s="11">
        <f t="shared" si="1"/>
        <v>3000000</v>
      </c>
      <c r="H48" s="11">
        <v>0</v>
      </c>
      <c r="I48" s="11">
        <f t="shared" si="2"/>
        <v>2000000</v>
      </c>
      <c r="J48" s="11">
        <v>0</v>
      </c>
    </row>
    <row r="49" spans="1:10" ht="12.95" customHeight="1" x14ac:dyDescent="0.2">
      <c r="A49" s="10">
        <v>44</v>
      </c>
      <c r="B49" s="39">
        <v>166</v>
      </c>
      <c r="C49" s="1">
        <v>2040</v>
      </c>
      <c r="D49" s="11" t="s">
        <v>109</v>
      </c>
      <c r="E49" s="39" t="s">
        <v>91</v>
      </c>
      <c r="F49" s="40">
        <v>10875000</v>
      </c>
      <c r="G49" s="11">
        <f t="shared" si="1"/>
        <v>6525000</v>
      </c>
      <c r="H49" s="11">
        <v>1225000</v>
      </c>
      <c r="I49" s="11">
        <f t="shared" si="2"/>
        <v>4350000</v>
      </c>
      <c r="J49" s="11">
        <v>0</v>
      </c>
    </row>
    <row r="50" spans="1:10" ht="12.95" customHeight="1" x14ac:dyDescent="0.2">
      <c r="A50" s="10">
        <v>45</v>
      </c>
      <c r="B50" s="39">
        <v>168</v>
      </c>
      <c r="C50" s="1">
        <v>2040</v>
      </c>
      <c r="D50" s="11" t="s">
        <v>109</v>
      </c>
      <c r="E50" s="39" t="s">
        <v>92</v>
      </c>
      <c r="F50" s="40">
        <v>10900000</v>
      </c>
      <c r="G50" s="11">
        <f t="shared" si="1"/>
        <v>6540000</v>
      </c>
      <c r="H50" s="11">
        <v>725000</v>
      </c>
      <c r="I50" s="11">
        <f t="shared" si="2"/>
        <v>4360000</v>
      </c>
      <c r="J50" s="11">
        <v>0</v>
      </c>
    </row>
    <row r="51" spans="1:10" ht="12.95" customHeight="1" x14ac:dyDescent="0.2">
      <c r="A51" s="10">
        <v>46</v>
      </c>
      <c r="B51" s="39">
        <v>169</v>
      </c>
      <c r="C51" s="1">
        <v>2040</v>
      </c>
      <c r="D51" s="11" t="s">
        <v>109</v>
      </c>
      <c r="E51" s="39" t="s">
        <v>93</v>
      </c>
      <c r="F51" s="40">
        <v>11350000</v>
      </c>
      <c r="G51" s="11">
        <f t="shared" si="1"/>
        <v>6810000</v>
      </c>
      <c r="H51" s="11">
        <v>225000</v>
      </c>
      <c r="I51" s="11">
        <f t="shared" si="2"/>
        <v>4540000</v>
      </c>
      <c r="J51" s="11">
        <v>0</v>
      </c>
    </row>
    <row r="52" spans="1:10" ht="12.95" customHeight="1" x14ac:dyDescent="0.2">
      <c r="A52" s="10">
        <v>47</v>
      </c>
      <c r="B52" s="39">
        <v>170</v>
      </c>
      <c r="C52" s="1">
        <v>2040</v>
      </c>
      <c r="D52" s="11" t="s">
        <v>109</v>
      </c>
      <c r="E52" s="39" t="s">
        <v>94</v>
      </c>
      <c r="F52" s="40">
        <v>10400000</v>
      </c>
      <c r="G52" s="11">
        <f t="shared" si="1"/>
        <v>6240000</v>
      </c>
      <c r="H52" s="11">
        <v>1425000</v>
      </c>
      <c r="I52" s="11">
        <f t="shared" si="2"/>
        <v>4160000</v>
      </c>
      <c r="J52" s="11">
        <v>0</v>
      </c>
    </row>
    <row r="53" spans="1:10" ht="12.95" customHeight="1" x14ac:dyDescent="0.2">
      <c r="A53" s="10">
        <v>48</v>
      </c>
      <c r="B53" s="39">
        <v>171</v>
      </c>
      <c r="C53" s="1">
        <v>2040</v>
      </c>
      <c r="D53" s="11" t="s">
        <v>109</v>
      </c>
      <c r="E53" s="39" t="s">
        <v>95</v>
      </c>
      <c r="F53" s="40">
        <v>11400000</v>
      </c>
      <c r="G53" s="11">
        <f t="shared" si="1"/>
        <v>6840000</v>
      </c>
      <c r="H53" s="11">
        <v>225000</v>
      </c>
      <c r="I53" s="11">
        <f t="shared" si="2"/>
        <v>4560000</v>
      </c>
      <c r="J53" s="11">
        <v>0</v>
      </c>
    </row>
    <row r="54" spans="1:10" ht="12.95" customHeight="1" x14ac:dyDescent="0.2">
      <c r="A54" s="10">
        <v>49</v>
      </c>
      <c r="B54" s="39">
        <v>174</v>
      </c>
      <c r="C54" s="1">
        <v>2040</v>
      </c>
      <c r="D54" s="11" t="s">
        <v>109</v>
      </c>
      <c r="E54" s="39" t="s">
        <v>96</v>
      </c>
      <c r="F54" s="40">
        <v>10000000</v>
      </c>
      <c r="G54" s="11">
        <f t="shared" si="1"/>
        <v>6000000</v>
      </c>
      <c r="H54" s="11">
        <v>1225000</v>
      </c>
      <c r="I54" s="11">
        <f t="shared" si="2"/>
        <v>4000000</v>
      </c>
      <c r="J54" s="11">
        <v>0</v>
      </c>
    </row>
    <row r="55" spans="1:10" ht="12.95" customHeight="1" x14ac:dyDescent="0.2">
      <c r="A55" s="10">
        <v>50</v>
      </c>
      <c r="B55" s="39">
        <v>175</v>
      </c>
      <c r="C55" s="1">
        <v>2040</v>
      </c>
      <c r="D55" s="11" t="s">
        <v>109</v>
      </c>
      <c r="E55" s="39" t="s">
        <v>97</v>
      </c>
      <c r="F55" s="40">
        <v>10875000</v>
      </c>
      <c r="G55" s="11">
        <f t="shared" si="1"/>
        <v>6525000</v>
      </c>
      <c r="H55" s="11">
        <v>1225000</v>
      </c>
      <c r="I55" s="11">
        <f t="shared" si="2"/>
        <v>4350000</v>
      </c>
      <c r="J55" s="11">
        <v>0</v>
      </c>
    </row>
    <row r="56" spans="1:10" ht="12.95" customHeight="1" x14ac:dyDescent="0.2">
      <c r="A56" s="10">
        <v>51</v>
      </c>
      <c r="B56" s="39">
        <v>176</v>
      </c>
      <c r="C56" s="1">
        <v>2040</v>
      </c>
      <c r="D56" s="11" t="s">
        <v>109</v>
      </c>
      <c r="E56" s="39" t="s">
        <v>98</v>
      </c>
      <c r="F56" s="40">
        <v>10000000</v>
      </c>
      <c r="G56" s="11">
        <f t="shared" si="1"/>
        <v>6000000</v>
      </c>
      <c r="H56" s="11">
        <v>1225000</v>
      </c>
      <c r="I56" s="11">
        <f t="shared" si="2"/>
        <v>4000000</v>
      </c>
      <c r="J56" s="11">
        <v>0</v>
      </c>
    </row>
    <row r="57" spans="1:10" ht="12.95" customHeight="1" x14ac:dyDescent="0.2">
      <c r="A57" s="10">
        <v>52</v>
      </c>
      <c r="B57" s="39">
        <v>177</v>
      </c>
      <c r="C57" s="1">
        <v>2040</v>
      </c>
      <c r="D57" s="11" t="s">
        <v>109</v>
      </c>
      <c r="E57" s="39" t="s">
        <v>99</v>
      </c>
      <c r="F57" s="40">
        <v>8500000</v>
      </c>
      <c r="G57" s="11">
        <f t="shared" si="1"/>
        <v>5100000</v>
      </c>
      <c r="H57" s="11">
        <v>1225000</v>
      </c>
      <c r="I57" s="11">
        <f t="shared" si="2"/>
        <v>3400000</v>
      </c>
      <c r="J57" s="11">
        <v>0</v>
      </c>
    </row>
    <row r="58" spans="1:10" ht="12.95" customHeight="1" x14ac:dyDescent="0.2">
      <c r="A58" s="10">
        <v>53</v>
      </c>
      <c r="B58" s="39">
        <v>178</v>
      </c>
      <c r="C58" s="1">
        <v>2040</v>
      </c>
      <c r="D58" s="11" t="s">
        <v>109</v>
      </c>
      <c r="E58" s="39" t="s">
        <v>100</v>
      </c>
      <c r="F58" s="40">
        <v>12400000</v>
      </c>
      <c r="G58" s="11">
        <f t="shared" si="1"/>
        <v>7440000</v>
      </c>
      <c r="H58" s="11"/>
      <c r="I58" s="11">
        <f t="shared" si="2"/>
        <v>4960000</v>
      </c>
      <c r="J58" s="11">
        <v>0</v>
      </c>
    </row>
    <row r="59" spans="1:10" ht="12.95" customHeight="1" x14ac:dyDescent="0.2">
      <c r="A59" s="10">
        <v>54</v>
      </c>
      <c r="B59" s="39">
        <v>179</v>
      </c>
      <c r="C59" s="1">
        <v>2040</v>
      </c>
      <c r="D59" s="11" t="s">
        <v>109</v>
      </c>
      <c r="E59" s="39" t="s">
        <v>101</v>
      </c>
      <c r="F59" s="40">
        <v>9800000</v>
      </c>
      <c r="G59" s="11">
        <f t="shared" si="1"/>
        <v>5880000</v>
      </c>
      <c r="H59" s="11">
        <v>1225000</v>
      </c>
      <c r="I59" s="11">
        <f t="shared" si="2"/>
        <v>3920000</v>
      </c>
      <c r="J59" s="11">
        <v>0</v>
      </c>
    </row>
    <row r="60" spans="1:10" ht="12.95" customHeight="1" x14ac:dyDescent="0.2">
      <c r="A60" s="10">
        <v>55</v>
      </c>
      <c r="B60" s="39">
        <v>180</v>
      </c>
      <c r="C60" s="1">
        <v>2040</v>
      </c>
      <c r="D60" s="11" t="s">
        <v>109</v>
      </c>
      <c r="E60" s="39" t="s">
        <v>102</v>
      </c>
      <c r="F60" s="40">
        <v>9800000</v>
      </c>
      <c r="G60" s="11">
        <f t="shared" si="1"/>
        <v>5880000</v>
      </c>
      <c r="H60" s="11">
        <f>225000+5547000</f>
        <v>5772000</v>
      </c>
      <c r="I60" s="11">
        <f t="shared" si="2"/>
        <v>3920000</v>
      </c>
      <c r="J60" s="11">
        <v>0</v>
      </c>
    </row>
    <row r="61" spans="1:10" ht="12.95" customHeight="1" x14ac:dyDescent="0.2">
      <c r="A61" s="10">
        <v>56</v>
      </c>
      <c r="B61" s="39">
        <v>181</v>
      </c>
      <c r="C61" s="1">
        <v>2040</v>
      </c>
      <c r="D61" s="11" t="s">
        <v>109</v>
      </c>
      <c r="E61" s="39" t="s">
        <v>103</v>
      </c>
      <c r="F61" s="40">
        <v>9600000</v>
      </c>
      <c r="G61" s="11">
        <f t="shared" si="1"/>
        <v>5760000</v>
      </c>
      <c r="H61" s="11">
        <f>1000000+5346451-586451</f>
        <v>5760000</v>
      </c>
      <c r="I61" s="11">
        <f t="shared" si="2"/>
        <v>3840000</v>
      </c>
      <c r="J61" s="11">
        <f>586451</f>
        <v>586451</v>
      </c>
    </row>
    <row r="62" spans="1:10" ht="12.95" customHeight="1" x14ac:dyDescent="0.2">
      <c r="A62" s="10">
        <v>57</v>
      </c>
      <c r="B62" s="39">
        <v>182</v>
      </c>
      <c r="C62" s="1">
        <v>2040</v>
      </c>
      <c r="D62" s="11" t="s">
        <v>109</v>
      </c>
      <c r="E62" s="39" t="s">
        <v>104</v>
      </c>
      <c r="F62" s="40">
        <v>9950000</v>
      </c>
      <c r="G62" s="11">
        <f t="shared" si="1"/>
        <v>5970000</v>
      </c>
      <c r="H62" s="11">
        <f>6068000-98000</f>
        <v>5970000</v>
      </c>
      <c r="I62" s="11">
        <f t="shared" si="2"/>
        <v>3980000</v>
      </c>
      <c r="J62" s="11">
        <f>98000</f>
        <v>98000</v>
      </c>
    </row>
    <row r="63" spans="1:10" ht="12.95" customHeight="1" x14ac:dyDescent="0.2">
      <c r="A63" s="10">
        <v>58</v>
      </c>
      <c r="B63" s="39">
        <v>183</v>
      </c>
      <c r="C63" s="1">
        <v>2040</v>
      </c>
      <c r="D63" s="11" t="s">
        <v>109</v>
      </c>
      <c r="E63" s="39" t="s">
        <v>105</v>
      </c>
      <c r="F63" s="40">
        <v>10000000</v>
      </c>
      <c r="G63" s="11">
        <f t="shared" si="1"/>
        <v>6000000</v>
      </c>
      <c r="H63" s="11">
        <f>5900000</f>
        <v>5900000</v>
      </c>
      <c r="I63" s="11">
        <f t="shared" si="2"/>
        <v>4000000</v>
      </c>
      <c r="J63" s="11">
        <v>0</v>
      </c>
    </row>
    <row r="64" spans="1:10" ht="12.95" customHeight="1" x14ac:dyDescent="0.2">
      <c r="A64" s="10">
        <v>59</v>
      </c>
      <c r="B64" s="39">
        <v>184</v>
      </c>
      <c r="C64" s="1">
        <v>2040</v>
      </c>
      <c r="D64" s="11" t="s">
        <v>109</v>
      </c>
      <c r="E64" s="39" t="s">
        <v>106</v>
      </c>
      <c r="F64" s="40">
        <v>10000000</v>
      </c>
      <c r="G64" s="11">
        <f t="shared" si="1"/>
        <v>6000000</v>
      </c>
      <c r="H64" s="11">
        <v>5900000</v>
      </c>
      <c r="I64" s="11">
        <f t="shared" si="2"/>
        <v>4000000</v>
      </c>
      <c r="J64" s="11">
        <v>0</v>
      </c>
    </row>
    <row r="65" spans="1:10" ht="12.95" customHeight="1" x14ac:dyDescent="0.2">
      <c r="A65" s="10">
        <v>60</v>
      </c>
      <c r="B65" s="39">
        <v>185</v>
      </c>
      <c r="C65" s="1">
        <v>2040</v>
      </c>
      <c r="D65" s="11" t="s">
        <v>109</v>
      </c>
      <c r="E65" s="39" t="s">
        <v>107</v>
      </c>
      <c r="F65" s="40">
        <v>10000000</v>
      </c>
      <c r="G65" s="11">
        <f t="shared" si="1"/>
        <v>6000000</v>
      </c>
      <c r="H65" s="11">
        <v>5900000</v>
      </c>
      <c r="I65" s="11">
        <f t="shared" si="2"/>
        <v>4000000</v>
      </c>
      <c r="J65" s="11">
        <v>0</v>
      </c>
    </row>
    <row r="66" spans="1:10" ht="12.95" customHeight="1" x14ac:dyDescent="0.2">
      <c r="A66" s="10"/>
      <c r="B66" s="39"/>
      <c r="C66" s="1"/>
      <c r="D66" s="11"/>
      <c r="E66" s="39"/>
      <c r="F66" s="40"/>
      <c r="G66" s="11"/>
      <c r="H66" s="11"/>
      <c r="I66" s="11"/>
      <c r="J66" s="11"/>
    </row>
    <row r="67" spans="1:10" ht="12.95" customHeight="1" x14ac:dyDescent="0.2">
      <c r="A67" s="14"/>
      <c r="B67" s="15" t="s">
        <v>22</v>
      </c>
      <c r="C67" s="16">
        <f>SUM(C6:C65)</f>
        <v>122400</v>
      </c>
      <c r="D67" s="17">
        <f>F67/C67</f>
        <v>4486.4052287581699</v>
      </c>
      <c r="E67" s="18"/>
      <c r="F67" s="16">
        <f t="shared" ref="F67:J67" si="3">SUM(F6:F65)</f>
        <v>549136000</v>
      </c>
      <c r="G67" s="16">
        <f t="shared" si="3"/>
        <v>329481600</v>
      </c>
      <c r="H67" s="16">
        <f t="shared" si="3"/>
        <v>226304951</v>
      </c>
      <c r="I67" s="16">
        <f t="shared" si="3"/>
        <v>219654400</v>
      </c>
      <c r="J67" s="16">
        <f t="shared" si="3"/>
        <v>36812660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2369-4FFC-4FDD-9C34-4F2EA55445AD}">
  <dimension ref="A1:M71"/>
  <sheetViews>
    <sheetView tabSelected="1" topLeftCell="A60" workbookViewId="0">
      <selection activeCell="B81" sqref="B81"/>
    </sheetView>
  </sheetViews>
  <sheetFormatPr defaultRowHeight="15" x14ac:dyDescent="0.25"/>
  <cols>
    <col min="1" max="1" width="3.42578125" style="2" customWidth="1"/>
    <col min="2" max="2" width="4.7109375" style="2" customWidth="1"/>
    <col min="3" max="3" width="6" style="2" customWidth="1"/>
    <col min="4" max="4" width="4.7109375" style="5" customWidth="1"/>
    <col min="5" max="5" width="29.28515625" style="5" customWidth="1"/>
    <col min="6" max="6" width="11.42578125" style="2" customWidth="1"/>
    <col min="7" max="7" width="11.7109375" style="5" customWidth="1"/>
    <col min="8" max="8" width="13.42578125" customWidth="1"/>
    <col min="9" max="9" width="12.140625" customWidth="1"/>
    <col min="10" max="10" width="10.5703125" customWidth="1"/>
    <col min="11" max="11" width="10" customWidth="1"/>
    <col min="12" max="12" width="11.5703125" customWidth="1"/>
    <col min="13" max="13" width="11.5703125" bestFit="1" customWidth="1"/>
  </cols>
  <sheetData>
    <row r="1" spans="1:12" x14ac:dyDescent="0.25">
      <c r="A1" s="57"/>
      <c r="B1" s="57"/>
      <c r="C1" s="57"/>
      <c r="D1" s="58"/>
      <c r="E1" s="58"/>
      <c r="F1" s="57"/>
      <c r="G1" s="58"/>
      <c r="H1" s="59"/>
      <c r="I1" s="59"/>
      <c r="J1" s="59"/>
      <c r="K1" s="59"/>
    </row>
    <row r="2" spans="1:12" x14ac:dyDescent="0.25">
      <c r="A2" s="60" t="s">
        <v>0</v>
      </c>
      <c r="B2" s="60"/>
      <c r="C2" s="57"/>
      <c r="D2" s="61"/>
      <c r="E2" s="62" t="s">
        <v>45</v>
      </c>
      <c r="F2" s="60"/>
      <c r="G2" s="60"/>
      <c r="H2" s="59"/>
      <c r="I2" s="59"/>
      <c r="J2" s="59"/>
      <c r="K2" s="59"/>
    </row>
    <row r="3" spans="1:12" x14ac:dyDescent="0.25">
      <c r="A3" s="60" t="s">
        <v>4</v>
      </c>
      <c r="B3" s="60"/>
      <c r="C3" s="57"/>
      <c r="D3" s="61"/>
      <c r="E3" s="62" t="s">
        <v>47</v>
      </c>
      <c r="F3" s="60"/>
      <c r="G3" s="60"/>
      <c r="H3" s="59" t="s">
        <v>114</v>
      </c>
      <c r="I3" s="59" t="s">
        <v>120</v>
      </c>
      <c r="J3" s="59"/>
      <c r="K3" s="59"/>
    </row>
    <row r="4" spans="1:12" x14ac:dyDescent="0.25">
      <c r="A4" s="60" t="s">
        <v>7</v>
      </c>
      <c r="B4" s="60"/>
      <c r="C4" s="57"/>
      <c r="D4" s="61"/>
      <c r="E4" s="62"/>
      <c r="F4" s="60"/>
      <c r="G4" s="60"/>
      <c r="H4" s="59"/>
      <c r="I4" s="59"/>
      <c r="J4" s="59"/>
      <c r="K4" s="59"/>
    </row>
    <row r="5" spans="1:12" x14ac:dyDescent="0.25">
      <c r="A5" s="57"/>
      <c r="B5" s="57"/>
      <c r="C5" s="57"/>
      <c r="D5" s="61"/>
      <c r="E5" s="61"/>
      <c r="F5" s="57"/>
      <c r="G5" s="61"/>
      <c r="H5" s="59"/>
      <c r="I5" s="59"/>
      <c r="J5" s="59"/>
      <c r="K5" s="59"/>
    </row>
    <row r="6" spans="1:12" ht="48" x14ac:dyDescent="0.25">
      <c r="A6" s="45" t="s">
        <v>8</v>
      </c>
      <c r="B6" s="45" t="s">
        <v>9</v>
      </c>
      <c r="C6" s="45" t="s">
        <v>10</v>
      </c>
      <c r="D6" s="45" t="s">
        <v>108</v>
      </c>
      <c r="E6" s="45" t="s">
        <v>12</v>
      </c>
      <c r="F6" s="45" t="s">
        <v>13</v>
      </c>
      <c r="G6" s="45" t="s">
        <v>110</v>
      </c>
      <c r="H6" s="45" t="s">
        <v>112</v>
      </c>
      <c r="I6" s="45" t="s">
        <v>111</v>
      </c>
      <c r="J6" s="45" t="s">
        <v>113</v>
      </c>
      <c r="K6" s="45" t="s">
        <v>117</v>
      </c>
    </row>
    <row r="7" spans="1:12" x14ac:dyDescent="0.25">
      <c r="A7" s="63">
        <v>1</v>
      </c>
      <c r="B7" s="64">
        <v>102</v>
      </c>
      <c r="C7" s="60">
        <v>2040</v>
      </c>
      <c r="D7" s="65" t="s">
        <v>109</v>
      </c>
      <c r="E7" s="64" t="s">
        <v>48</v>
      </c>
      <c r="F7" s="66">
        <v>8300000</v>
      </c>
      <c r="G7" s="65">
        <f>F7*60/100</f>
        <v>4980000</v>
      </c>
      <c r="H7" s="65">
        <f>1225000+3487000+1096000-828000</f>
        <v>4980000</v>
      </c>
      <c r="I7" s="65">
        <f t="shared" ref="I7:I38" si="0">F7*40/100</f>
        <v>3320000</v>
      </c>
      <c r="J7" s="65">
        <f>960000+828000+725310+570690+620048+200000+22239-606287</f>
        <v>3320000</v>
      </c>
      <c r="K7" s="67">
        <v>642287</v>
      </c>
      <c r="L7" s="55"/>
    </row>
    <row r="8" spans="1:12" x14ac:dyDescent="0.25">
      <c r="A8" s="63">
        <f>A7+1</f>
        <v>2</v>
      </c>
      <c r="B8" s="64">
        <v>104</v>
      </c>
      <c r="C8" s="60">
        <v>2040</v>
      </c>
      <c r="D8" s="65" t="s">
        <v>109</v>
      </c>
      <c r="E8" s="64" t="s">
        <v>49</v>
      </c>
      <c r="F8" s="66">
        <v>8300000</v>
      </c>
      <c r="G8" s="65">
        <f t="shared" ref="G8:G70" si="1">F8*60/100</f>
        <v>4980000</v>
      </c>
      <c r="H8" s="65">
        <f>1225000+3587000+996000+996000+597600-2421600</f>
        <v>4980000</v>
      </c>
      <c r="I8" s="65">
        <f t="shared" si="0"/>
        <v>3320000</v>
      </c>
      <c r="J8" s="65">
        <f>1200000+127448+50864+18334+172666+9154+2421600-680066</f>
        <v>3320000</v>
      </c>
      <c r="K8" s="68">
        <v>680054</v>
      </c>
      <c r="L8" s="55"/>
    </row>
    <row r="9" spans="1:12" x14ac:dyDescent="0.25">
      <c r="A9" s="63">
        <f t="shared" ref="A9:A70" si="2">A8+1</f>
        <v>3</v>
      </c>
      <c r="B9" s="64">
        <v>106</v>
      </c>
      <c r="C9" s="60">
        <v>2040</v>
      </c>
      <c r="D9" s="65" t="s">
        <v>109</v>
      </c>
      <c r="E9" s="64" t="s">
        <v>50</v>
      </c>
      <c r="F9" s="66">
        <v>8400000</v>
      </c>
      <c r="G9" s="65">
        <f t="shared" si="1"/>
        <v>5040000</v>
      </c>
      <c r="H9" s="65">
        <f>1225000+3651000+1008000-844000</f>
        <v>5040000</v>
      </c>
      <c r="I9" s="65">
        <f t="shared" si="0"/>
        <v>3360000</v>
      </c>
      <c r="J9" s="65">
        <f>108000+614748+1308000+844000+234962+5577+932200-687487</f>
        <v>3360000</v>
      </c>
      <c r="K9" s="68">
        <v>655287</v>
      </c>
      <c r="L9" s="55"/>
    </row>
    <row r="10" spans="1:12" x14ac:dyDescent="0.25">
      <c r="A10" s="63">
        <f t="shared" si="2"/>
        <v>4</v>
      </c>
      <c r="B10" s="64">
        <v>108</v>
      </c>
      <c r="C10" s="60">
        <v>2040</v>
      </c>
      <c r="D10" s="65" t="s">
        <v>109</v>
      </c>
      <c r="E10" s="64" t="s">
        <v>51</v>
      </c>
      <c r="F10" s="66">
        <v>9100000</v>
      </c>
      <c r="G10" s="65">
        <f t="shared" si="1"/>
        <v>5460000</v>
      </c>
      <c r="H10" s="65">
        <f>1225000+1500000+1100000+500000+1135000</f>
        <v>5460000</v>
      </c>
      <c r="I10" s="65">
        <f t="shared" si="0"/>
        <v>3640000</v>
      </c>
      <c r="J10" s="65">
        <f>465000+830000+3000000-655000</f>
        <v>3640000</v>
      </c>
      <c r="K10" s="68">
        <v>655000</v>
      </c>
      <c r="L10" s="55"/>
    </row>
    <row r="11" spans="1:12" ht="13.5" customHeight="1" x14ac:dyDescent="0.25">
      <c r="A11" s="63">
        <f t="shared" si="2"/>
        <v>5</v>
      </c>
      <c r="B11" s="64">
        <v>110</v>
      </c>
      <c r="C11" s="60">
        <v>2040</v>
      </c>
      <c r="D11" s="65" t="s">
        <v>109</v>
      </c>
      <c r="E11" s="64" t="s">
        <v>52</v>
      </c>
      <c r="F11" s="66">
        <v>8200000</v>
      </c>
      <c r="G11" s="65">
        <f t="shared" si="1"/>
        <v>4920000</v>
      </c>
      <c r="H11" s="65">
        <f>1225000+1000000+900000+1000000+623000+984000+984000-1796000</f>
        <v>4920000</v>
      </c>
      <c r="I11" s="65">
        <f t="shared" si="0"/>
        <v>3280000</v>
      </c>
      <c r="J11" s="65">
        <f>1796000+1000000+1000000+74400-590400</f>
        <v>3280000</v>
      </c>
      <c r="K11" s="69">
        <v>590400</v>
      </c>
      <c r="L11" s="55"/>
    </row>
    <row r="12" spans="1:12" x14ac:dyDescent="0.25">
      <c r="A12" s="63">
        <f t="shared" si="2"/>
        <v>6</v>
      </c>
      <c r="B12" s="64">
        <v>112</v>
      </c>
      <c r="C12" s="60">
        <v>2040</v>
      </c>
      <c r="D12" s="65" t="s">
        <v>109</v>
      </c>
      <c r="E12" s="64" t="s">
        <v>53</v>
      </c>
      <c r="F12" s="66">
        <v>8300000</v>
      </c>
      <c r="G12" s="65">
        <f t="shared" si="1"/>
        <v>4980000</v>
      </c>
      <c r="H12" s="65">
        <f>2965000+2900000-885000</f>
        <v>4980000</v>
      </c>
      <c r="I12" s="65">
        <f t="shared" si="0"/>
        <v>3320000</v>
      </c>
      <c r="J12" s="65">
        <f>300000+300000+450000+450000+175000+260000+400000+885000+100000</f>
        <v>3320000</v>
      </c>
      <c r="K12" s="68">
        <v>669419</v>
      </c>
      <c r="L12" s="55"/>
    </row>
    <row r="13" spans="1:12" x14ac:dyDescent="0.25">
      <c r="A13" s="63">
        <f t="shared" si="2"/>
        <v>7</v>
      </c>
      <c r="B13" s="64">
        <v>114</v>
      </c>
      <c r="C13" s="60">
        <v>2040</v>
      </c>
      <c r="D13" s="65" t="s">
        <v>109</v>
      </c>
      <c r="E13" s="64" t="s">
        <v>54</v>
      </c>
      <c r="F13" s="66">
        <v>8500000</v>
      </c>
      <c r="G13" s="65">
        <f t="shared" si="1"/>
        <v>5100000</v>
      </c>
      <c r="H13" s="65">
        <f>1225000+6056249-525000+900000-2556249</f>
        <v>5100000</v>
      </c>
      <c r="I13" s="65">
        <f t="shared" si="0"/>
        <v>3400000</v>
      </c>
      <c r="J13" s="65">
        <v>3400000</v>
      </c>
      <c r="K13" s="68">
        <v>1335652</v>
      </c>
      <c r="L13" s="55"/>
    </row>
    <row r="14" spans="1:12" ht="13.5" customHeight="1" x14ac:dyDescent="0.25">
      <c r="A14" s="63">
        <f t="shared" si="2"/>
        <v>8</v>
      </c>
      <c r="B14" s="64">
        <v>116</v>
      </c>
      <c r="C14" s="60">
        <v>2040</v>
      </c>
      <c r="D14" s="65" t="s">
        <v>109</v>
      </c>
      <c r="E14" s="64" t="s">
        <v>55</v>
      </c>
      <c r="F14" s="66">
        <v>8300000</v>
      </c>
      <c r="G14" s="65">
        <f t="shared" si="1"/>
        <v>4980000</v>
      </c>
      <c r="H14" s="65">
        <f>1225000+3587000+2589600-2421600</f>
        <v>4980000</v>
      </c>
      <c r="I14" s="65">
        <f t="shared" si="0"/>
        <v>3320000</v>
      </c>
      <c r="J14" s="65">
        <v>3320000</v>
      </c>
      <c r="K14" s="68">
        <v>845100</v>
      </c>
      <c r="L14" s="55"/>
    </row>
    <row r="15" spans="1:12" x14ac:dyDescent="0.25">
      <c r="A15" s="63">
        <f t="shared" si="2"/>
        <v>9</v>
      </c>
      <c r="B15" s="64">
        <v>118</v>
      </c>
      <c r="C15" s="60">
        <v>2040</v>
      </c>
      <c r="D15" s="65" t="s">
        <v>109</v>
      </c>
      <c r="E15" s="64" t="s">
        <v>56</v>
      </c>
      <c r="F15" s="66">
        <v>8300000</v>
      </c>
      <c r="G15" s="65">
        <f t="shared" si="1"/>
        <v>4980000</v>
      </c>
      <c r="H15" s="65">
        <f>225000+200000+300000+500000+3587000+996000-828000</f>
        <v>4980000</v>
      </c>
      <c r="I15" s="65">
        <f t="shared" si="0"/>
        <v>3320000</v>
      </c>
      <c r="J15" s="65">
        <f>996000+828000+1363104+300000+300000-467104</f>
        <v>3320000</v>
      </c>
      <c r="K15" s="68">
        <v>467104</v>
      </c>
      <c r="L15" s="55"/>
    </row>
    <row r="16" spans="1:12" x14ac:dyDescent="0.25">
      <c r="A16" s="63">
        <f t="shared" si="2"/>
        <v>10</v>
      </c>
      <c r="B16" s="64">
        <v>120</v>
      </c>
      <c r="C16" s="60">
        <v>2040</v>
      </c>
      <c r="D16" s="65" t="s">
        <v>109</v>
      </c>
      <c r="E16" s="64" t="s">
        <v>57</v>
      </c>
      <c r="F16" s="66">
        <v>8300000</v>
      </c>
      <c r="G16" s="65">
        <f t="shared" si="1"/>
        <v>4980000</v>
      </c>
      <c r="H16" s="65">
        <f>275000+1000000+3587000+118000</f>
        <v>4980000</v>
      </c>
      <c r="I16" s="65">
        <f t="shared" si="0"/>
        <v>3320000</v>
      </c>
      <c r="J16" s="65">
        <f>996000+996000+1000000+367000+699099-738099</f>
        <v>3320000</v>
      </c>
      <c r="K16" s="68">
        <f>738099+250000-118000</f>
        <v>870099</v>
      </c>
      <c r="L16" s="55"/>
    </row>
    <row r="17" spans="1:13" x14ac:dyDescent="0.25">
      <c r="A17" s="63">
        <f t="shared" si="2"/>
        <v>11</v>
      </c>
      <c r="B17" s="64">
        <v>122</v>
      </c>
      <c r="C17" s="60">
        <v>2040</v>
      </c>
      <c r="D17" s="65" t="s">
        <v>109</v>
      </c>
      <c r="E17" s="64" t="s">
        <v>58</v>
      </c>
      <c r="F17" s="66">
        <v>8200000</v>
      </c>
      <c r="G17" s="65">
        <f t="shared" si="1"/>
        <v>4920000</v>
      </c>
      <c r="H17" s="65">
        <f>1225000+3523000+984000-812000</f>
        <v>4920000</v>
      </c>
      <c r="I17" s="65">
        <f t="shared" si="0"/>
        <v>3280000</v>
      </c>
      <c r="J17" s="65">
        <f>984000+812000+1484000+290000+298520+89995-678515</f>
        <v>3280000</v>
      </c>
      <c r="K17" s="70">
        <v>678515</v>
      </c>
      <c r="L17" s="55"/>
    </row>
    <row r="18" spans="1:13" ht="13.5" customHeight="1" x14ac:dyDescent="0.25">
      <c r="A18" s="63">
        <f t="shared" si="2"/>
        <v>12</v>
      </c>
      <c r="B18" s="64">
        <v>124</v>
      </c>
      <c r="C18" s="60">
        <v>2040</v>
      </c>
      <c r="D18" s="65" t="s">
        <v>109</v>
      </c>
      <c r="E18" s="64" t="s">
        <v>59</v>
      </c>
      <c r="F18" s="66">
        <v>8500000</v>
      </c>
      <c r="G18" s="65">
        <f t="shared" si="1"/>
        <v>5100000</v>
      </c>
      <c r="H18" s="65">
        <f>25000+500000+200000+1000000+3215000+1020000+275000-1135000</f>
        <v>5100000</v>
      </c>
      <c r="I18" s="65">
        <f t="shared" si="0"/>
        <v>3400000</v>
      </c>
      <c r="J18" s="65">
        <f>1020000+400000+1320000+183794+83055+1135000-741849</f>
        <v>3400000</v>
      </c>
      <c r="K18" s="68">
        <v>741849</v>
      </c>
      <c r="L18" s="55"/>
      <c r="M18" s="55"/>
    </row>
    <row r="19" spans="1:13" x14ac:dyDescent="0.25">
      <c r="A19" s="63">
        <f t="shared" si="2"/>
        <v>13</v>
      </c>
      <c r="B19" s="64">
        <v>126</v>
      </c>
      <c r="C19" s="60">
        <v>2040</v>
      </c>
      <c r="D19" s="65" t="s">
        <v>109</v>
      </c>
      <c r="E19" s="64" t="s">
        <v>60</v>
      </c>
      <c r="F19" s="66">
        <v>8200000</v>
      </c>
      <c r="G19" s="65">
        <f t="shared" si="1"/>
        <v>4920000</v>
      </c>
      <c r="H19" s="65">
        <f>225000+5630000+600000+300000-1835000</f>
        <v>4920000</v>
      </c>
      <c r="I19" s="65">
        <f t="shared" si="0"/>
        <v>3280000</v>
      </c>
      <c r="J19" s="65">
        <f>800000+600000+1835000+650000-605000</f>
        <v>3280000</v>
      </c>
      <c r="K19" s="68">
        <f>605000+84955+2360</f>
        <v>692315</v>
      </c>
      <c r="L19" s="55"/>
    </row>
    <row r="20" spans="1:13" x14ac:dyDescent="0.25">
      <c r="A20" s="63">
        <f t="shared" si="2"/>
        <v>14</v>
      </c>
      <c r="B20" s="64">
        <v>128</v>
      </c>
      <c r="C20" s="60">
        <v>2040</v>
      </c>
      <c r="D20" s="65" t="s">
        <v>109</v>
      </c>
      <c r="E20" s="64" t="s">
        <v>61</v>
      </c>
      <c r="F20" s="66">
        <v>9810000</v>
      </c>
      <c r="G20" s="65">
        <f t="shared" si="1"/>
        <v>5886000</v>
      </c>
      <c r="H20" s="65">
        <f>200000+1000000+4686000+3924000-3924000</f>
        <v>5886000</v>
      </c>
      <c r="I20" s="65">
        <f t="shared" si="0"/>
        <v>3924000</v>
      </c>
      <c r="J20" s="65">
        <f>706320+3924000+22953+25000-754273</f>
        <v>3924000</v>
      </c>
      <c r="K20" s="68">
        <v>754273</v>
      </c>
      <c r="L20" s="55"/>
    </row>
    <row r="21" spans="1:13" x14ac:dyDescent="0.25">
      <c r="A21" s="63">
        <f t="shared" si="2"/>
        <v>15</v>
      </c>
      <c r="B21" s="64">
        <v>129</v>
      </c>
      <c r="C21" s="60">
        <v>2040</v>
      </c>
      <c r="D21" s="65" t="s">
        <v>109</v>
      </c>
      <c r="E21" s="64" t="s">
        <v>62</v>
      </c>
      <c r="F21" s="66">
        <v>10120000</v>
      </c>
      <c r="G21" s="65">
        <f t="shared" si="1"/>
        <v>6072000</v>
      </c>
      <c r="H21" s="65">
        <f>10125000-4053000</f>
        <v>6072000</v>
      </c>
      <c r="I21" s="65">
        <f t="shared" si="0"/>
        <v>4048000</v>
      </c>
      <c r="J21" s="65">
        <f>746088+4053000+10857+50000-811945</f>
        <v>4048000</v>
      </c>
      <c r="K21" s="68">
        <v>811945</v>
      </c>
      <c r="L21" s="55"/>
    </row>
    <row r="22" spans="1:13" x14ac:dyDescent="0.25">
      <c r="A22" s="63">
        <f t="shared" si="2"/>
        <v>16</v>
      </c>
      <c r="B22" s="64">
        <v>131</v>
      </c>
      <c r="C22" s="60">
        <v>2040</v>
      </c>
      <c r="D22" s="65" t="s">
        <v>109</v>
      </c>
      <c r="E22" s="64" t="s">
        <v>63</v>
      </c>
      <c r="F22" s="66">
        <v>8300000</v>
      </c>
      <c r="G22" s="65">
        <f t="shared" si="1"/>
        <v>4980000</v>
      </c>
      <c r="H22" s="65">
        <f>225000+300000+4287000+446000+550000+100+497500+100000-1425600</f>
        <v>4980000</v>
      </c>
      <c r="I22" s="65">
        <f t="shared" si="0"/>
        <v>3320000</v>
      </c>
      <c r="J22" s="65">
        <f>996000+1027472+100+299999+178475+1425600+70130-677776</f>
        <v>3320000</v>
      </c>
      <c r="K22" s="68">
        <v>677776</v>
      </c>
      <c r="L22" s="55"/>
    </row>
    <row r="23" spans="1:13" x14ac:dyDescent="0.25">
      <c r="A23" s="63">
        <f t="shared" si="2"/>
        <v>17</v>
      </c>
      <c r="B23" s="64">
        <v>133</v>
      </c>
      <c r="C23" s="60">
        <v>2040</v>
      </c>
      <c r="D23" s="65" t="s">
        <v>109</v>
      </c>
      <c r="E23" s="64" t="s">
        <v>64</v>
      </c>
      <c r="F23" s="66">
        <v>8300000</v>
      </c>
      <c r="G23" s="65">
        <f t="shared" si="1"/>
        <v>4980000</v>
      </c>
      <c r="H23" s="65">
        <f>1225000+3575000+500000+508000-828000</f>
        <v>4980000</v>
      </c>
      <c r="I23" s="65">
        <f t="shared" si="0"/>
        <v>3320000</v>
      </c>
      <c r="J23" s="65">
        <f>996000+2000000+828000+184482-688482</f>
        <v>3320000</v>
      </c>
      <c r="K23" s="68">
        <f>504000+184482</f>
        <v>688482</v>
      </c>
      <c r="L23" s="55"/>
    </row>
    <row r="24" spans="1:13" x14ac:dyDescent="0.25">
      <c r="A24" s="63">
        <f t="shared" si="2"/>
        <v>18</v>
      </c>
      <c r="B24" s="64">
        <v>135</v>
      </c>
      <c r="C24" s="60">
        <v>2040</v>
      </c>
      <c r="D24" s="65" t="s">
        <v>109</v>
      </c>
      <c r="E24" s="64" t="s">
        <v>65</v>
      </c>
      <c r="F24" s="66">
        <v>9100000</v>
      </c>
      <c r="G24" s="65">
        <f t="shared" si="1"/>
        <v>5460000</v>
      </c>
      <c r="H24" s="65">
        <f>5324000+1092000+500000-1456000</f>
        <v>5460000</v>
      </c>
      <c r="I24" s="65">
        <f t="shared" si="0"/>
        <v>3640000</v>
      </c>
      <c r="J24" s="65">
        <f>1092000+1456000+500000+300000+655200+292000+153972+25516-834688</f>
        <v>3640000</v>
      </c>
      <c r="K24" s="70">
        <f>834688</f>
        <v>834688</v>
      </c>
      <c r="L24" s="55"/>
    </row>
    <row r="25" spans="1:13" x14ac:dyDescent="0.25">
      <c r="A25" s="63">
        <f t="shared" si="2"/>
        <v>19</v>
      </c>
      <c r="B25" s="64">
        <v>137</v>
      </c>
      <c r="C25" s="60">
        <v>2040</v>
      </c>
      <c r="D25" s="65" t="s">
        <v>109</v>
      </c>
      <c r="E25" s="64" t="s">
        <v>66</v>
      </c>
      <c r="F25" s="66">
        <v>9000000</v>
      </c>
      <c r="G25" s="65">
        <f t="shared" si="1"/>
        <v>5400000</v>
      </c>
      <c r="H25" s="65">
        <f>225000+1000000+4035000+1080000-940000</f>
        <v>5400000</v>
      </c>
      <c r="I25" s="65">
        <f t="shared" si="0"/>
        <v>3600000</v>
      </c>
      <c r="J25" s="65">
        <f>1080000+1000000+380000+648000+940000+200000+110070-758070</f>
        <v>3600000</v>
      </c>
      <c r="K25" s="70">
        <v>758070</v>
      </c>
      <c r="L25" s="55"/>
    </row>
    <row r="26" spans="1:13" x14ac:dyDescent="0.25">
      <c r="A26" s="63">
        <f t="shared" si="2"/>
        <v>20</v>
      </c>
      <c r="B26" s="64">
        <v>139</v>
      </c>
      <c r="C26" s="60">
        <v>2040</v>
      </c>
      <c r="D26" s="65" t="s">
        <v>109</v>
      </c>
      <c r="E26" s="64" t="s">
        <v>67</v>
      </c>
      <c r="F26" s="66">
        <v>9100000</v>
      </c>
      <c r="G26" s="65">
        <f t="shared" si="1"/>
        <v>5460000</v>
      </c>
      <c r="H26" s="65">
        <f>225000+500000+500000+4099000+1092000-956000</f>
        <v>5460000</v>
      </c>
      <c r="I26" s="65">
        <f t="shared" si="0"/>
        <v>3640000</v>
      </c>
      <c r="J26" s="65">
        <f>956000+1092000+100+900+300000+99000+1000000+300000+300000+69649+178150+80000+58253-794052</f>
        <v>3640000</v>
      </c>
      <c r="K26" s="70">
        <v>794052</v>
      </c>
      <c r="L26" s="55"/>
    </row>
    <row r="27" spans="1:13" x14ac:dyDescent="0.25">
      <c r="A27" s="63">
        <f t="shared" si="2"/>
        <v>21</v>
      </c>
      <c r="B27" s="64">
        <v>141</v>
      </c>
      <c r="C27" s="60">
        <v>2040</v>
      </c>
      <c r="D27" s="65" t="s">
        <v>109</v>
      </c>
      <c r="E27" s="64" t="s">
        <v>68</v>
      </c>
      <c r="F27" s="66">
        <v>9150000</v>
      </c>
      <c r="G27" s="65">
        <f t="shared" si="1"/>
        <v>5490000</v>
      </c>
      <c r="H27" s="65">
        <f>1225000+500000+340000+260000+500000+1206000+500000+500000+325000+134000</f>
        <v>5490000</v>
      </c>
      <c r="I27" s="65">
        <f t="shared" si="0"/>
        <v>3660000</v>
      </c>
      <c r="J27" s="65">
        <f>1098000+1098000+800+400000+258000+1400000+184375+154440-933615</f>
        <v>3660000</v>
      </c>
      <c r="K27" s="70">
        <f>933615-134000</f>
        <v>799615</v>
      </c>
      <c r="L27" s="55"/>
    </row>
    <row r="28" spans="1:13" x14ac:dyDescent="0.25">
      <c r="A28" s="63">
        <f t="shared" si="2"/>
        <v>22</v>
      </c>
      <c r="B28" s="64">
        <v>142</v>
      </c>
      <c r="C28" s="60">
        <v>2040</v>
      </c>
      <c r="D28" s="65" t="s">
        <v>109</v>
      </c>
      <c r="E28" s="64" t="s">
        <v>69</v>
      </c>
      <c r="F28" s="66">
        <v>9100000</v>
      </c>
      <c r="G28" s="65">
        <f t="shared" si="1"/>
        <v>5460000</v>
      </c>
      <c r="H28" s="65">
        <f>1200000+4099000+1092000-931000</f>
        <v>5460000</v>
      </c>
      <c r="I28" s="65">
        <f t="shared" si="0"/>
        <v>3640000</v>
      </c>
      <c r="J28" s="65">
        <f>1092000+10000+900000+1033000+251983+25000+43745+931000+26458-673186</f>
        <v>3640000</v>
      </c>
      <c r="K28" s="70">
        <v>673186</v>
      </c>
      <c r="L28" s="55"/>
    </row>
    <row r="29" spans="1:13" x14ac:dyDescent="0.25">
      <c r="A29" s="63">
        <f t="shared" si="2"/>
        <v>23</v>
      </c>
      <c r="B29" s="64">
        <v>143</v>
      </c>
      <c r="C29" s="60">
        <v>2040</v>
      </c>
      <c r="D29" s="65" t="s">
        <v>109</v>
      </c>
      <c r="E29" s="64" t="s">
        <v>70</v>
      </c>
      <c r="F29" s="66">
        <v>9000000</v>
      </c>
      <c r="G29" s="65">
        <f t="shared" si="1"/>
        <v>5400000</v>
      </c>
      <c r="H29" s="65">
        <f>1225000+375000+1400000+1000000+1400000+1100000+500000+1000000+1557358-4157358</f>
        <v>5400000</v>
      </c>
      <c r="I29" s="65">
        <f t="shared" si="0"/>
        <v>3600000</v>
      </c>
      <c r="J29" s="65">
        <f>4157358-557358</f>
        <v>3600000</v>
      </c>
      <c r="K29" s="70">
        <f>557358</f>
        <v>557358</v>
      </c>
      <c r="L29" s="55"/>
    </row>
    <row r="30" spans="1:13" s="56" customFormat="1" x14ac:dyDescent="0.25">
      <c r="A30" s="63">
        <f t="shared" si="2"/>
        <v>24</v>
      </c>
      <c r="B30" s="71">
        <v>144</v>
      </c>
      <c r="C30" s="72">
        <v>2040</v>
      </c>
      <c r="D30" s="73" t="s">
        <v>109</v>
      </c>
      <c r="E30" s="71" t="s">
        <v>71</v>
      </c>
      <c r="F30" s="74">
        <v>9070000</v>
      </c>
      <c r="G30" s="73">
        <f t="shared" si="1"/>
        <v>5442000</v>
      </c>
      <c r="H30" s="73">
        <f>25000+1+40000+100000+60000+3200000+5245000-3228001</f>
        <v>5442000</v>
      </c>
      <c r="I30" s="73">
        <f t="shared" si="0"/>
        <v>3628000</v>
      </c>
      <c r="J30" s="73">
        <v>3228001</v>
      </c>
      <c r="K30" s="75"/>
      <c r="L30" s="55"/>
    </row>
    <row r="31" spans="1:13" x14ac:dyDescent="0.25">
      <c r="A31" s="63">
        <f t="shared" si="2"/>
        <v>25</v>
      </c>
      <c r="B31" s="64">
        <v>145</v>
      </c>
      <c r="C31" s="60">
        <v>2040</v>
      </c>
      <c r="D31" s="65" t="s">
        <v>109</v>
      </c>
      <c r="E31" s="64" t="s">
        <v>72</v>
      </c>
      <c r="F31" s="66">
        <v>9100000</v>
      </c>
      <c r="G31" s="65">
        <f t="shared" si="1"/>
        <v>5460000</v>
      </c>
      <c r="H31" s="65">
        <f>1225000+4099000+1149000-1013000</f>
        <v>5460000</v>
      </c>
      <c r="I31" s="65">
        <f t="shared" si="0"/>
        <v>3640000</v>
      </c>
      <c r="J31" s="65">
        <f>1072000+512000+60000+355200+300000+500000+1000000+192000+292464-643664</f>
        <v>3640000</v>
      </c>
      <c r="K31" s="70">
        <v>643664</v>
      </c>
      <c r="L31" s="55"/>
    </row>
    <row r="32" spans="1:13" x14ac:dyDescent="0.25">
      <c r="A32" s="63">
        <f t="shared" si="2"/>
        <v>26</v>
      </c>
      <c r="B32" s="64">
        <v>146</v>
      </c>
      <c r="C32" s="60">
        <v>2040</v>
      </c>
      <c r="D32" s="65" t="s">
        <v>109</v>
      </c>
      <c r="E32" s="76" t="s">
        <v>116</v>
      </c>
      <c r="F32" s="66">
        <v>12375000</v>
      </c>
      <c r="G32" s="65">
        <f t="shared" si="1"/>
        <v>7425000</v>
      </c>
      <c r="H32" s="65">
        <f>25000+1200000+800000+400000+5000000+1149000+739524-1888524</f>
        <v>7425000</v>
      </c>
      <c r="I32" s="65">
        <f t="shared" si="0"/>
        <v>4950000</v>
      </c>
      <c r="J32" s="65">
        <f>585000+900000+136000+200000+900000+900000+252476+1888524+18108-830108</f>
        <v>4950000</v>
      </c>
      <c r="K32" s="70">
        <f>812000+18108</f>
        <v>830108</v>
      </c>
      <c r="L32" s="55"/>
    </row>
    <row r="33" spans="1:13" x14ac:dyDescent="0.25">
      <c r="A33" s="63">
        <f t="shared" si="2"/>
        <v>27</v>
      </c>
      <c r="B33" s="64">
        <v>148</v>
      </c>
      <c r="C33" s="60">
        <v>2040</v>
      </c>
      <c r="D33" s="65" t="s">
        <v>109</v>
      </c>
      <c r="E33" s="64" t="s">
        <v>73</v>
      </c>
      <c r="F33" s="66">
        <v>8930000</v>
      </c>
      <c r="G33" s="65">
        <f t="shared" si="1"/>
        <v>5358000</v>
      </c>
      <c r="H33" s="65">
        <f>2725000+2500000</f>
        <v>5225000</v>
      </c>
      <c r="I33" s="65">
        <f t="shared" si="0"/>
        <v>3572000</v>
      </c>
      <c r="J33" s="65">
        <f>1071000+1071000</f>
        <v>2142000</v>
      </c>
      <c r="K33" s="70"/>
      <c r="L33" s="55"/>
    </row>
    <row r="34" spans="1:13" x14ac:dyDescent="0.25">
      <c r="A34" s="63">
        <f t="shared" si="2"/>
        <v>28</v>
      </c>
      <c r="B34" s="64">
        <v>149</v>
      </c>
      <c r="C34" s="60">
        <v>2040</v>
      </c>
      <c r="D34" s="65" t="s">
        <v>109</v>
      </c>
      <c r="E34" s="64" t="s">
        <v>74</v>
      </c>
      <c r="F34" s="66">
        <v>8600000</v>
      </c>
      <c r="G34" s="65">
        <f t="shared" si="1"/>
        <v>5160000</v>
      </c>
      <c r="H34" s="65">
        <f>1225009+3779000</f>
        <v>5004009</v>
      </c>
      <c r="I34" s="65">
        <f t="shared" si="0"/>
        <v>3440000</v>
      </c>
      <c r="J34" s="65">
        <f>1032000+1516700+1645552+79653-833905</f>
        <v>3440000</v>
      </c>
      <c r="K34" s="70">
        <f>833905</f>
        <v>833905</v>
      </c>
      <c r="L34" s="55"/>
    </row>
    <row r="35" spans="1:13" x14ac:dyDescent="0.25">
      <c r="A35" s="63">
        <f t="shared" si="2"/>
        <v>29</v>
      </c>
      <c r="B35" s="64">
        <v>150</v>
      </c>
      <c r="C35" s="60">
        <v>2040</v>
      </c>
      <c r="D35" s="65" t="s">
        <v>109</v>
      </c>
      <c r="E35" s="64" t="s">
        <v>75</v>
      </c>
      <c r="F35" s="66">
        <v>8600000</v>
      </c>
      <c r="G35" s="65">
        <f t="shared" si="1"/>
        <v>5160000</v>
      </c>
      <c r="H35" s="65">
        <f>1225001+3779000+155999</f>
        <v>5160000</v>
      </c>
      <c r="I35" s="65">
        <f t="shared" si="0"/>
        <v>3440000</v>
      </c>
      <c r="J35" s="65">
        <f>1032000+1032000+1+1600000+557000-781001</f>
        <v>3440000</v>
      </c>
      <c r="K35" s="70">
        <v>781001</v>
      </c>
      <c r="L35" s="55"/>
      <c r="M35" s="55"/>
    </row>
    <row r="36" spans="1:13" x14ac:dyDescent="0.25">
      <c r="A36" s="63">
        <f t="shared" si="2"/>
        <v>30</v>
      </c>
      <c r="B36" s="64">
        <v>151</v>
      </c>
      <c r="C36" s="60">
        <v>2040</v>
      </c>
      <c r="D36" s="65" t="s">
        <v>109</v>
      </c>
      <c r="E36" s="64" t="s">
        <v>118</v>
      </c>
      <c r="F36" s="66">
        <v>11400000</v>
      </c>
      <c r="G36" s="65">
        <f t="shared" si="1"/>
        <v>6840000</v>
      </c>
      <c r="H36" s="65">
        <f>1225000+625000+550000+5900000+1368000+2352800-5180800</f>
        <v>6840000</v>
      </c>
      <c r="I36" s="65">
        <f t="shared" si="0"/>
        <v>4560000</v>
      </c>
      <c r="J36" s="65">
        <f>5180800+161880-782680</f>
        <v>4560000</v>
      </c>
      <c r="K36" s="70">
        <v>782680</v>
      </c>
      <c r="L36" s="55"/>
      <c r="M36" s="55"/>
    </row>
    <row r="37" spans="1:13" x14ac:dyDescent="0.25">
      <c r="A37" s="63">
        <f t="shared" si="2"/>
        <v>31</v>
      </c>
      <c r="B37" s="64">
        <v>152</v>
      </c>
      <c r="C37" s="60">
        <v>2040</v>
      </c>
      <c r="D37" s="65" t="s">
        <v>109</v>
      </c>
      <c r="E37" s="64" t="s">
        <v>77</v>
      </c>
      <c r="F37" s="66">
        <v>9381000</v>
      </c>
      <c r="G37" s="65">
        <f t="shared" si="1"/>
        <v>5628600</v>
      </c>
      <c r="H37" s="65">
        <f>1200000+4310000+118600</f>
        <v>5628600</v>
      </c>
      <c r="I37" s="65">
        <f t="shared" si="0"/>
        <v>3752400</v>
      </c>
      <c r="J37" s="65">
        <f>1126000+1130000+894000+200000+50000+1032821+163318-843739</f>
        <v>3752400</v>
      </c>
      <c r="K37" s="70">
        <v>843739</v>
      </c>
      <c r="L37" s="55"/>
    </row>
    <row r="38" spans="1:13" x14ac:dyDescent="0.25">
      <c r="A38" s="63">
        <f t="shared" si="2"/>
        <v>32</v>
      </c>
      <c r="B38" s="64">
        <v>153</v>
      </c>
      <c r="C38" s="60">
        <v>2040</v>
      </c>
      <c r="D38" s="65" t="s">
        <v>109</v>
      </c>
      <c r="E38" s="64" t="s">
        <v>78</v>
      </c>
      <c r="F38" s="66">
        <v>9100000</v>
      </c>
      <c r="G38" s="65">
        <f t="shared" si="1"/>
        <v>5460000</v>
      </c>
      <c r="H38" s="65">
        <f>1200000+200000+4000000+60000</f>
        <v>5460000</v>
      </c>
      <c r="I38" s="65">
        <f t="shared" si="0"/>
        <v>3640000</v>
      </c>
      <c r="J38" s="65">
        <f>1092000+1092000+600000+500000+878968+169026+25000-716994</f>
        <v>3640000</v>
      </c>
      <c r="K38" s="70">
        <f>716994-60000</f>
        <v>656994</v>
      </c>
      <c r="L38" s="55"/>
    </row>
    <row r="39" spans="1:13" x14ac:dyDescent="0.25">
      <c r="A39" s="63">
        <f t="shared" si="2"/>
        <v>33</v>
      </c>
      <c r="B39" s="64">
        <v>154</v>
      </c>
      <c r="C39" s="60">
        <v>2040</v>
      </c>
      <c r="D39" s="65" t="s">
        <v>109</v>
      </c>
      <c r="E39" s="64" t="s">
        <v>79</v>
      </c>
      <c r="F39" s="66">
        <v>9100000</v>
      </c>
      <c r="G39" s="65">
        <f t="shared" si="1"/>
        <v>5460000</v>
      </c>
      <c r="H39" s="65">
        <f>1225000+1400000+2000005.7+699000+1092750-956756</f>
        <v>5459999.7000000002</v>
      </c>
      <c r="I39" s="65">
        <f t="shared" ref="I39:I70" si="3">F39*40/100</f>
        <v>3640000</v>
      </c>
      <c r="J39" s="65">
        <f>956756+2000000</f>
        <v>2956756</v>
      </c>
      <c r="K39" s="70"/>
      <c r="L39" s="55"/>
    </row>
    <row r="40" spans="1:13" x14ac:dyDescent="0.25">
      <c r="A40" s="63">
        <f t="shared" si="2"/>
        <v>34</v>
      </c>
      <c r="B40" s="64">
        <v>155</v>
      </c>
      <c r="C40" s="60">
        <v>2040</v>
      </c>
      <c r="D40" s="65" t="s">
        <v>109</v>
      </c>
      <c r="E40" s="64" t="s">
        <v>80</v>
      </c>
      <c r="F40" s="66">
        <v>8850000</v>
      </c>
      <c r="G40" s="65">
        <f t="shared" si="1"/>
        <v>5310000</v>
      </c>
      <c r="H40" s="65">
        <f>1225000+3939000+146000</f>
        <v>5310000</v>
      </c>
      <c r="I40" s="65">
        <f t="shared" si="3"/>
        <v>3540000</v>
      </c>
      <c r="J40" s="65">
        <f>1062000+1062000+789148+1390446+50000+20603-834197</f>
        <v>3540000</v>
      </c>
      <c r="K40" s="70">
        <f>843197-146000</f>
        <v>697197</v>
      </c>
      <c r="L40" s="55"/>
    </row>
    <row r="41" spans="1:13" x14ac:dyDescent="0.25">
      <c r="A41" s="63">
        <f t="shared" si="2"/>
        <v>35</v>
      </c>
      <c r="B41" s="64">
        <v>156</v>
      </c>
      <c r="C41" s="60">
        <v>2040</v>
      </c>
      <c r="D41" s="65" t="s">
        <v>109</v>
      </c>
      <c r="E41" s="64" t="s">
        <v>81</v>
      </c>
      <c r="F41" s="66">
        <v>7350000</v>
      </c>
      <c r="G41" s="65">
        <f t="shared" si="1"/>
        <v>4410000</v>
      </c>
      <c r="H41" s="65">
        <f>1225000+2979000+206000</f>
        <v>4410000</v>
      </c>
      <c r="I41" s="65">
        <f t="shared" si="3"/>
        <v>2940000</v>
      </c>
      <c r="J41" s="65">
        <f>882000+882000+1915000-739000</f>
        <v>2940000</v>
      </c>
      <c r="K41" s="70">
        <f>739000-206000</f>
        <v>533000</v>
      </c>
      <c r="L41" s="55"/>
    </row>
    <row r="42" spans="1:13" x14ac:dyDescent="0.25">
      <c r="A42" s="63">
        <f t="shared" si="2"/>
        <v>36</v>
      </c>
      <c r="B42" s="64">
        <v>157</v>
      </c>
      <c r="C42" s="60">
        <v>2040</v>
      </c>
      <c r="D42" s="65" t="s">
        <v>109</v>
      </c>
      <c r="E42" s="64" t="s">
        <v>82</v>
      </c>
      <c r="F42" s="66">
        <v>8850000</v>
      </c>
      <c r="G42" s="65">
        <f t="shared" si="1"/>
        <v>5310000</v>
      </c>
      <c r="H42" s="65">
        <f>1225000+3939000+1062000+500000-1416000</f>
        <v>5310000</v>
      </c>
      <c r="I42" s="65">
        <f t="shared" si="3"/>
        <v>3540000</v>
      </c>
      <c r="J42" s="65">
        <f>2000+560000+2021648+1416000+200000+90294+2300-752242</f>
        <v>3540000</v>
      </c>
      <c r="K42" s="70">
        <f>752242</f>
        <v>752242</v>
      </c>
      <c r="L42" s="55"/>
    </row>
    <row r="43" spans="1:13" x14ac:dyDescent="0.25">
      <c r="A43" s="63">
        <f t="shared" si="2"/>
        <v>37</v>
      </c>
      <c r="B43" s="64">
        <v>158</v>
      </c>
      <c r="C43" s="60">
        <v>2040</v>
      </c>
      <c r="D43" s="65" t="s">
        <v>109</v>
      </c>
      <c r="E43" s="64" t="s">
        <v>83</v>
      </c>
      <c r="F43" s="66">
        <v>9800000</v>
      </c>
      <c r="G43" s="65">
        <f t="shared" si="1"/>
        <v>5880000</v>
      </c>
      <c r="H43" s="65">
        <f>1225000+4655000</f>
        <v>5880000</v>
      </c>
      <c r="I43" s="65">
        <f t="shared" si="3"/>
        <v>3920000</v>
      </c>
      <c r="J43" s="65">
        <f>1176000+1176000+750000+1050000+477462+150000+150000-1009462</f>
        <v>3920000</v>
      </c>
      <c r="K43" s="70">
        <f>1009462</f>
        <v>1009462</v>
      </c>
      <c r="L43" s="55"/>
    </row>
    <row r="44" spans="1:13" x14ac:dyDescent="0.25">
      <c r="A44" s="63">
        <f t="shared" si="2"/>
        <v>38</v>
      </c>
      <c r="B44" s="64">
        <v>159</v>
      </c>
      <c r="C44" s="60">
        <v>2040</v>
      </c>
      <c r="D44" s="65" t="s">
        <v>109</v>
      </c>
      <c r="E44" s="64" t="s">
        <v>84</v>
      </c>
      <c r="F44" s="66">
        <v>8600000</v>
      </c>
      <c r="G44" s="65">
        <f t="shared" si="1"/>
        <v>5160000</v>
      </c>
      <c r="H44" s="65">
        <f>1225002+995100+2783900+2080000-1924002</f>
        <v>5160000</v>
      </c>
      <c r="I44" s="65">
        <f t="shared" si="3"/>
        <v>3440000</v>
      </c>
      <c r="J44" s="65">
        <f>1032000+1032000+1924002+221421-769423</f>
        <v>3440000</v>
      </c>
      <c r="K44" s="70">
        <f>769423</f>
        <v>769423</v>
      </c>
      <c r="L44" s="55"/>
    </row>
    <row r="45" spans="1:13" x14ac:dyDescent="0.25">
      <c r="A45" s="63">
        <f t="shared" si="2"/>
        <v>39</v>
      </c>
      <c r="B45" s="64">
        <v>160</v>
      </c>
      <c r="C45" s="60">
        <v>2040</v>
      </c>
      <c r="D45" s="65" t="s">
        <v>109</v>
      </c>
      <c r="E45" s="64" t="s">
        <v>85</v>
      </c>
      <c r="F45" s="66">
        <v>7725000</v>
      </c>
      <c r="G45" s="65">
        <f t="shared" si="1"/>
        <v>4635000</v>
      </c>
      <c r="H45" s="65">
        <v>4444000</v>
      </c>
      <c r="I45" s="65">
        <f t="shared" si="3"/>
        <v>3090000</v>
      </c>
      <c r="J45" s="65">
        <f>527000+400000+27000+600000+300000+900000+1000000-664000</f>
        <v>3090000</v>
      </c>
      <c r="K45" s="70">
        <f>664000</f>
        <v>664000</v>
      </c>
      <c r="L45" s="55"/>
    </row>
    <row r="46" spans="1:13" x14ac:dyDescent="0.25">
      <c r="A46" s="63">
        <f t="shared" si="2"/>
        <v>40</v>
      </c>
      <c r="B46" s="64">
        <v>161</v>
      </c>
      <c r="C46" s="60">
        <v>2040</v>
      </c>
      <c r="D46" s="65" t="s">
        <v>109</v>
      </c>
      <c r="E46" s="64" t="s">
        <v>86</v>
      </c>
      <c r="F46" s="66">
        <v>10900000</v>
      </c>
      <c r="G46" s="65">
        <f t="shared" si="1"/>
        <v>6540000</v>
      </c>
      <c r="H46" s="65">
        <f>2355000+5429000+1164000-2408000</f>
        <v>6540000</v>
      </c>
      <c r="I46" s="65">
        <f t="shared" si="3"/>
        <v>4360000</v>
      </c>
      <c r="J46" s="65">
        <f>1308000+1308000+2408000-664000</f>
        <v>4360000</v>
      </c>
      <c r="K46" s="70">
        <v>664000</v>
      </c>
      <c r="L46" s="55"/>
    </row>
    <row r="47" spans="1:13" ht="12" customHeight="1" x14ac:dyDescent="0.25">
      <c r="A47" s="63">
        <f t="shared" si="2"/>
        <v>41</v>
      </c>
      <c r="B47" s="64">
        <v>162</v>
      </c>
      <c r="C47" s="60">
        <v>2040</v>
      </c>
      <c r="D47" s="65" t="s">
        <v>109</v>
      </c>
      <c r="E47" s="64" t="s">
        <v>87</v>
      </c>
      <c r="F47" s="66">
        <v>7850000</v>
      </c>
      <c r="G47" s="65">
        <f t="shared" si="1"/>
        <v>4710000</v>
      </c>
      <c r="H47" s="65">
        <f>1225000+4900000+565200-1980200</f>
        <v>4710000</v>
      </c>
      <c r="I47" s="65">
        <f t="shared" si="3"/>
        <v>3140000</v>
      </c>
      <c r="J47" s="65">
        <f>600000+1980200+600000-40200</f>
        <v>3140000</v>
      </c>
      <c r="K47" s="70">
        <v>40200</v>
      </c>
      <c r="L47" s="55"/>
    </row>
    <row r="48" spans="1:13" x14ac:dyDescent="0.25">
      <c r="A48" s="63">
        <f t="shared" si="2"/>
        <v>42</v>
      </c>
      <c r="B48" s="64">
        <v>163</v>
      </c>
      <c r="C48" s="60">
        <v>2040</v>
      </c>
      <c r="D48" s="65" t="s">
        <v>109</v>
      </c>
      <c r="E48" s="64" t="s">
        <v>88</v>
      </c>
      <c r="F48" s="66">
        <v>9700000</v>
      </c>
      <c r="G48" s="65">
        <f t="shared" si="1"/>
        <v>5820000</v>
      </c>
      <c r="H48" s="65">
        <f>6872000+1164000+1664000+148539-4028539</f>
        <v>5820000</v>
      </c>
      <c r="I48" s="65">
        <f t="shared" si="3"/>
        <v>3880000</v>
      </c>
      <c r="J48" s="65">
        <f>3880000+698400-698400</f>
        <v>3880000</v>
      </c>
      <c r="K48" s="70">
        <f>698400+148539</f>
        <v>846939</v>
      </c>
      <c r="L48" s="55"/>
    </row>
    <row r="49" spans="1:12" x14ac:dyDescent="0.25">
      <c r="A49" s="63">
        <f t="shared" si="2"/>
        <v>43</v>
      </c>
      <c r="B49" s="64">
        <v>164</v>
      </c>
      <c r="C49" s="60">
        <v>2040</v>
      </c>
      <c r="D49" s="65" t="s">
        <v>109</v>
      </c>
      <c r="E49" s="64" t="s">
        <v>89</v>
      </c>
      <c r="F49" s="66">
        <v>8300000</v>
      </c>
      <c r="G49" s="65">
        <f t="shared" si="1"/>
        <v>4980000</v>
      </c>
      <c r="H49" s="65">
        <f>1225001+3581100+1000000-826101</f>
        <v>4980000</v>
      </c>
      <c r="I49" s="65">
        <f t="shared" si="3"/>
        <v>3320000</v>
      </c>
      <c r="J49" s="65">
        <f>1992000+59060+1476000+826101-1033161</f>
        <v>3320000</v>
      </c>
      <c r="K49" s="70">
        <v>1033161</v>
      </c>
      <c r="L49" s="55"/>
    </row>
    <row r="50" spans="1:12" x14ac:dyDescent="0.25">
      <c r="A50" s="63">
        <f t="shared" si="2"/>
        <v>44</v>
      </c>
      <c r="B50" s="64">
        <v>165</v>
      </c>
      <c r="C50" s="60">
        <v>2040</v>
      </c>
      <c r="D50" s="65" t="s">
        <v>109</v>
      </c>
      <c r="E50" s="64" t="s">
        <v>90</v>
      </c>
      <c r="F50" s="66">
        <v>5000000</v>
      </c>
      <c r="G50" s="65">
        <f t="shared" si="1"/>
        <v>3000000</v>
      </c>
      <c r="H50" s="65">
        <v>0</v>
      </c>
      <c r="I50" s="65">
        <f t="shared" si="3"/>
        <v>2000000</v>
      </c>
      <c r="J50" s="65"/>
      <c r="K50" s="70"/>
      <c r="L50" s="55"/>
    </row>
    <row r="51" spans="1:12" x14ac:dyDescent="0.25">
      <c r="A51" s="63">
        <f t="shared" si="2"/>
        <v>45</v>
      </c>
      <c r="B51" s="64">
        <v>166</v>
      </c>
      <c r="C51" s="60">
        <v>2040</v>
      </c>
      <c r="D51" s="65" t="s">
        <v>109</v>
      </c>
      <c r="E51" s="64" t="s">
        <v>91</v>
      </c>
      <c r="F51" s="66">
        <v>10875000</v>
      </c>
      <c r="G51" s="65">
        <f t="shared" si="1"/>
        <v>6525000</v>
      </c>
      <c r="H51" s="65">
        <f>1225000+5235000</f>
        <v>6460000</v>
      </c>
      <c r="I51" s="65">
        <f t="shared" si="3"/>
        <v>4350000</v>
      </c>
      <c r="J51" s="65">
        <f>1305000+1000000+1000000+633000+1000000+228067+136764+1776-954607</f>
        <v>4350000</v>
      </c>
      <c r="K51" s="70">
        <v>954607</v>
      </c>
      <c r="L51" s="55"/>
    </row>
    <row r="52" spans="1:12" x14ac:dyDescent="0.25">
      <c r="A52" s="63">
        <f t="shared" si="2"/>
        <v>46</v>
      </c>
      <c r="B52" s="64">
        <v>167</v>
      </c>
      <c r="C52" s="60">
        <v>2040</v>
      </c>
      <c r="D52" s="65" t="s">
        <v>109</v>
      </c>
      <c r="E52" s="64" t="s">
        <v>119</v>
      </c>
      <c r="F52" s="66">
        <v>12850000</v>
      </c>
      <c r="G52" s="65">
        <f t="shared" si="1"/>
        <v>7710000</v>
      </c>
      <c r="H52" s="65">
        <f>1225000+7485000-1000000</f>
        <v>7710000</v>
      </c>
      <c r="I52" s="65">
        <f t="shared" si="3"/>
        <v>5140000</v>
      </c>
      <c r="J52" s="65">
        <f>600000+1542000+1000000+1600000+200000+200000+400000+173000+347648+72243-994891</f>
        <v>5140000</v>
      </c>
      <c r="K52" s="70">
        <v>994891</v>
      </c>
      <c r="L52" s="55"/>
    </row>
    <row r="53" spans="1:12" x14ac:dyDescent="0.25">
      <c r="A53" s="63">
        <f t="shared" si="2"/>
        <v>47</v>
      </c>
      <c r="B53" s="64">
        <v>168</v>
      </c>
      <c r="C53" s="60">
        <v>2040</v>
      </c>
      <c r="D53" s="65" t="s">
        <v>109</v>
      </c>
      <c r="E53" s="64" t="s">
        <v>92</v>
      </c>
      <c r="F53" s="66">
        <v>10900000</v>
      </c>
      <c r="G53" s="65">
        <f t="shared" si="1"/>
        <v>6540000</v>
      </c>
      <c r="H53" s="65">
        <f>725000+500000+500000+500000+500000+75000+3740000</f>
        <v>6540000</v>
      </c>
      <c r="I53" s="65">
        <f t="shared" si="3"/>
        <v>4360000</v>
      </c>
      <c r="J53" s="65">
        <f>784800+105572+2180000+82036</f>
        <v>3152408</v>
      </c>
      <c r="K53" s="70"/>
      <c r="L53" s="55"/>
    </row>
    <row r="54" spans="1:12" x14ac:dyDescent="0.25">
      <c r="A54" s="63">
        <f t="shared" si="2"/>
        <v>48</v>
      </c>
      <c r="B54" s="64">
        <v>169</v>
      </c>
      <c r="C54" s="60">
        <v>2040</v>
      </c>
      <c r="D54" s="65" t="s">
        <v>109</v>
      </c>
      <c r="E54" s="64" t="s">
        <v>93</v>
      </c>
      <c r="F54" s="66">
        <v>11350000</v>
      </c>
      <c r="G54" s="65">
        <f t="shared" si="1"/>
        <v>6810000</v>
      </c>
      <c r="H54" s="65">
        <f>225000+1000000+5539000</f>
        <v>6764000</v>
      </c>
      <c r="I54" s="65">
        <f t="shared" si="3"/>
        <v>4540000</v>
      </c>
      <c r="J54" s="65">
        <f>1362000+1362000+162000</f>
        <v>2886000</v>
      </c>
      <c r="K54" s="70"/>
      <c r="L54" s="55"/>
    </row>
    <row r="55" spans="1:12" x14ac:dyDescent="0.25">
      <c r="A55" s="63">
        <f t="shared" si="2"/>
        <v>49</v>
      </c>
      <c r="B55" s="64">
        <v>170</v>
      </c>
      <c r="C55" s="60">
        <v>2040</v>
      </c>
      <c r="D55" s="65" t="s">
        <v>109</v>
      </c>
      <c r="E55" s="64" t="s">
        <v>94</v>
      </c>
      <c r="F55" s="66">
        <v>10400000</v>
      </c>
      <c r="G55" s="65">
        <f t="shared" si="1"/>
        <v>6240000</v>
      </c>
      <c r="H55" s="65">
        <f>1425000+946200+3784800</f>
        <v>6156000</v>
      </c>
      <c r="I55" s="65">
        <f t="shared" si="3"/>
        <v>4160000</v>
      </c>
      <c r="J55" s="65">
        <f>278000+969600+1248000+559200+748800+967672+200000-811272</f>
        <v>4160000</v>
      </c>
      <c r="K55" s="70">
        <v>811272</v>
      </c>
      <c r="L55" s="55"/>
    </row>
    <row r="56" spans="1:12" x14ac:dyDescent="0.25">
      <c r="A56" s="63">
        <f t="shared" si="2"/>
        <v>50</v>
      </c>
      <c r="B56" s="64">
        <v>171</v>
      </c>
      <c r="C56" s="60">
        <v>2040</v>
      </c>
      <c r="D56" s="65" t="s">
        <v>109</v>
      </c>
      <c r="E56" s="64" t="s">
        <v>95</v>
      </c>
      <c r="F56" s="66">
        <v>11400000</v>
      </c>
      <c r="G56" s="65">
        <f t="shared" si="1"/>
        <v>6840000</v>
      </c>
      <c r="H56" s="65">
        <f>225000+1000000+5571000</f>
        <v>6796000</v>
      </c>
      <c r="I56" s="65">
        <f t="shared" si="3"/>
        <v>4560000</v>
      </c>
      <c r="J56" s="65">
        <f>1368000+1368000+1668000</f>
        <v>4404000</v>
      </c>
      <c r="K56" s="70"/>
      <c r="L56" s="55"/>
    </row>
    <row r="57" spans="1:12" x14ac:dyDescent="0.25">
      <c r="A57" s="63">
        <f t="shared" si="2"/>
        <v>51</v>
      </c>
      <c r="B57" s="64">
        <v>174</v>
      </c>
      <c r="C57" s="60">
        <v>2040</v>
      </c>
      <c r="D57" s="65" t="s">
        <v>109</v>
      </c>
      <c r="E57" s="64" t="s">
        <v>96</v>
      </c>
      <c r="F57" s="66">
        <v>10000000</v>
      </c>
      <c r="G57" s="65">
        <f t="shared" si="1"/>
        <v>6000000</v>
      </c>
      <c r="H57" s="65">
        <f>1225000+2000000+2000000+675000</f>
        <v>5900000</v>
      </c>
      <c r="I57" s="65">
        <f t="shared" si="3"/>
        <v>4000000</v>
      </c>
      <c r="J57" s="65">
        <f>1000000+200000+1200000+1500000+720000+303234-923234</f>
        <v>4000000</v>
      </c>
      <c r="K57" s="70">
        <v>923234</v>
      </c>
      <c r="L57" s="55"/>
    </row>
    <row r="58" spans="1:12" x14ac:dyDescent="0.25">
      <c r="A58" s="63">
        <f t="shared" si="2"/>
        <v>52</v>
      </c>
      <c r="B58" s="64">
        <v>175</v>
      </c>
      <c r="C58" s="60">
        <v>2040</v>
      </c>
      <c r="D58" s="65" t="s">
        <v>109</v>
      </c>
      <c r="E58" s="64" t="s">
        <v>97</v>
      </c>
      <c r="F58" s="66">
        <v>10875000</v>
      </c>
      <c r="G58" s="65">
        <f t="shared" si="1"/>
        <v>6525000</v>
      </c>
      <c r="H58" s="65">
        <f>1225000+500000+4700000+1340000+1305000+450000+200000+1155000-4350000</f>
        <v>6525000</v>
      </c>
      <c r="I58" s="65">
        <f t="shared" si="3"/>
        <v>4350000</v>
      </c>
      <c r="J58" s="65">
        <v>2545000</v>
      </c>
      <c r="K58" s="70"/>
      <c r="L58" s="55"/>
    </row>
    <row r="59" spans="1:12" x14ac:dyDescent="0.25">
      <c r="A59" s="63">
        <f t="shared" si="2"/>
        <v>53</v>
      </c>
      <c r="B59" s="64">
        <v>176</v>
      </c>
      <c r="C59" s="60">
        <v>2040</v>
      </c>
      <c r="D59" s="65" t="s">
        <v>109</v>
      </c>
      <c r="E59" s="64" t="s">
        <v>98</v>
      </c>
      <c r="F59" s="66">
        <v>10000000</v>
      </c>
      <c r="G59" s="65">
        <f t="shared" si="1"/>
        <v>6000000</v>
      </c>
      <c r="H59" s="65">
        <f>5875000+972000+1200000+1178000+750000-3975000</f>
        <v>6000000</v>
      </c>
      <c r="I59" s="65">
        <f t="shared" si="3"/>
        <v>4000000</v>
      </c>
      <c r="J59" s="65">
        <f>2047000+767500+64334+767500+64334</f>
        <v>3710668</v>
      </c>
      <c r="K59" s="70"/>
      <c r="L59" s="55"/>
    </row>
    <row r="60" spans="1:12" x14ac:dyDescent="0.25">
      <c r="A60" s="63">
        <f t="shared" si="2"/>
        <v>54</v>
      </c>
      <c r="B60" s="64">
        <v>177</v>
      </c>
      <c r="C60" s="60">
        <v>2040</v>
      </c>
      <c r="D60" s="65" t="s">
        <v>109</v>
      </c>
      <c r="E60" s="64" t="s">
        <v>99</v>
      </c>
      <c r="F60" s="66">
        <v>8500000</v>
      </c>
      <c r="G60" s="65">
        <f t="shared" si="1"/>
        <v>5100000</v>
      </c>
      <c r="H60" s="65">
        <f>3825000+350000+225000</f>
        <v>4400000</v>
      </c>
      <c r="I60" s="65">
        <f t="shared" si="3"/>
        <v>3400000</v>
      </c>
      <c r="J60" s="65">
        <f>700000+200000+100000+200000+1000000+1200000+700000-700000</f>
        <v>3400000</v>
      </c>
      <c r="K60" s="70">
        <v>700000</v>
      </c>
      <c r="L60" s="55"/>
    </row>
    <row r="61" spans="1:12" x14ac:dyDescent="0.25">
      <c r="A61" s="63">
        <f t="shared" si="2"/>
        <v>55</v>
      </c>
      <c r="B61" s="64">
        <v>178</v>
      </c>
      <c r="C61" s="60">
        <v>2040</v>
      </c>
      <c r="D61" s="65" t="s">
        <v>109</v>
      </c>
      <c r="E61" s="64" t="s">
        <v>100</v>
      </c>
      <c r="F61" s="66">
        <v>12400000</v>
      </c>
      <c r="G61" s="65">
        <f t="shared" si="1"/>
        <v>7440000</v>
      </c>
      <c r="H61" s="65">
        <f>2425000+4000000+1011000+400000+1088000+1430000+500000+1115000+415000+931000-5875000</f>
        <v>7440000</v>
      </c>
      <c r="I61" s="65">
        <f t="shared" si="3"/>
        <v>4960000</v>
      </c>
      <c r="J61" s="65">
        <v>2914000</v>
      </c>
      <c r="K61" s="70"/>
      <c r="L61" s="55"/>
    </row>
    <row r="62" spans="1:12" x14ac:dyDescent="0.25">
      <c r="A62" s="63">
        <f t="shared" si="2"/>
        <v>56</v>
      </c>
      <c r="B62" s="64">
        <v>179</v>
      </c>
      <c r="C62" s="60">
        <v>2040</v>
      </c>
      <c r="D62" s="65" t="s">
        <v>109</v>
      </c>
      <c r="E62" s="64" t="s">
        <v>101</v>
      </c>
      <c r="F62" s="66">
        <v>9800000</v>
      </c>
      <c r="G62" s="65">
        <f t="shared" si="1"/>
        <v>5880000</v>
      </c>
      <c r="H62" s="65">
        <f>6025000+1000000+705600+600000-2450600</f>
        <v>5880000</v>
      </c>
      <c r="I62" s="65">
        <f t="shared" si="3"/>
        <v>3920000</v>
      </c>
      <c r="J62" s="65">
        <f>1850600+1176000+1024000</f>
        <v>4050600</v>
      </c>
      <c r="K62" s="70"/>
      <c r="L62" s="55"/>
    </row>
    <row r="63" spans="1:12" x14ac:dyDescent="0.25">
      <c r="A63" s="63">
        <f t="shared" si="2"/>
        <v>57</v>
      </c>
      <c r="B63" s="64">
        <v>180</v>
      </c>
      <c r="C63" s="60">
        <v>2040</v>
      </c>
      <c r="D63" s="65" t="s">
        <v>109</v>
      </c>
      <c r="E63" s="64" t="s">
        <v>102</v>
      </c>
      <c r="F63" s="66">
        <v>9800000</v>
      </c>
      <c r="G63" s="65">
        <f t="shared" si="1"/>
        <v>5880000</v>
      </c>
      <c r="H63" s="65">
        <f>225000+5547000+200000+200000-292000</f>
        <v>5880000</v>
      </c>
      <c r="I63" s="65">
        <f t="shared" si="3"/>
        <v>3920000</v>
      </c>
      <c r="J63" s="65">
        <f>1176000+1176000+150000+2000000+31590+295354-908944</f>
        <v>3920000</v>
      </c>
      <c r="K63" s="70">
        <f>905590</f>
        <v>905590</v>
      </c>
      <c r="L63" s="55"/>
    </row>
    <row r="64" spans="1:12" x14ac:dyDescent="0.25">
      <c r="A64" s="63">
        <f t="shared" si="2"/>
        <v>58</v>
      </c>
      <c r="B64" s="64">
        <v>181</v>
      </c>
      <c r="C64" s="60">
        <v>2040</v>
      </c>
      <c r="D64" s="65" t="s">
        <v>109</v>
      </c>
      <c r="E64" s="64" t="s">
        <v>103</v>
      </c>
      <c r="F64" s="66">
        <v>9600000</v>
      </c>
      <c r="G64" s="65">
        <f t="shared" si="1"/>
        <v>5760000</v>
      </c>
      <c r="H64" s="65">
        <f>1000000+5346451-586451</f>
        <v>5760000</v>
      </c>
      <c r="I64" s="65">
        <f t="shared" si="3"/>
        <v>3840000</v>
      </c>
      <c r="J64" s="65">
        <f>1152000+1152000+586451+1309164+419060-778675</f>
        <v>3840000</v>
      </c>
      <c r="K64" s="70">
        <v>778675</v>
      </c>
      <c r="L64" s="55"/>
    </row>
    <row r="65" spans="1:12" x14ac:dyDescent="0.25">
      <c r="A65" s="63">
        <f t="shared" si="2"/>
        <v>59</v>
      </c>
      <c r="B65" s="64">
        <v>182</v>
      </c>
      <c r="C65" s="60">
        <v>2040</v>
      </c>
      <c r="D65" s="65" t="s">
        <v>109</v>
      </c>
      <c r="E65" s="64" t="s">
        <v>104</v>
      </c>
      <c r="F65" s="66">
        <v>9950000</v>
      </c>
      <c r="G65" s="65">
        <f t="shared" si="1"/>
        <v>5970000</v>
      </c>
      <c r="H65" s="65">
        <f>6068000+200000+200000-498000</f>
        <v>5970000</v>
      </c>
      <c r="I65" s="65">
        <f t="shared" si="3"/>
        <v>3980000</v>
      </c>
      <c r="J65" s="65">
        <f>1194000+1194000+400+625000+716000+498000+444784+92126-784310</f>
        <v>3980000</v>
      </c>
      <c r="K65" s="70">
        <v>784310</v>
      </c>
      <c r="L65" s="55"/>
    </row>
    <row r="66" spans="1:12" x14ac:dyDescent="0.25">
      <c r="A66" s="63">
        <f t="shared" si="2"/>
        <v>60</v>
      </c>
      <c r="B66" s="64">
        <v>183</v>
      </c>
      <c r="C66" s="60">
        <v>2040</v>
      </c>
      <c r="D66" s="65" t="s">
        <v>109</v>
      </c>
      <c r="E66" s="64" t="s">
        <v>105</v>
      </c>
      <c r="F66" s="66">
        <v>10000000</v>
      </c>
      <c r="G66" s="65">
        <f t="shared" si="1"/>
        <v>6000000</v>
      </c>
      <c r="H66" s="65">
        <f>7100000+1200000+1000000+700000-4000000</f>
        <v>6000000</v>
      </c>
      <c r="I66" s="65">
        <f t="shared" si="3"/>
        <v>4000000</v>
      </c>
      <c r="J66" s="65">
        <f>4000000</f>
        <v>4000000</v>
      </c>
      <c r="K66" s="70"/>
      <c r="L66" s="55"/>
    </row>
    <row r="67" spans="1:12" x14ac:dyDescent="0.25">
      <c r="A67" s="63">
        <f t="shared" si="2"/>
        <v>61</v>
      </c>
      <c r="B67" s="64">
        <v>184</v>
      </c>
      <c r="C67" s="60">
        <v>2040</v>
      </c>
      <c r="D67" s="65" t="s">
        <v>109</v>
      </c>
      <c r="E67" s="64" t="s">
        <v>106</v>
      </c>
      <c r="F67" s="66">
        <v>10000000</v>
      </c>
      <c r="G67" s="65">
        <f t="shared" si="1"/>
        <v>6000000</v>
      </c>
      <c r="H67" s="65">
        <f>5900000+100000</f>
        <v>6000000</v>
      </c>
      <c r="I67" s="65">
        <f t="shared" si="3"/>
        <v>4000000</v>
      </c>
      <c r="J67" s="65">
        <f>1200000+1920000+1500000+200000-820000</f>
        <v>4000000</v>
      </c>
      <c r="K67" s="70">
        <f>820000-100000</f>
        <v>720000</v>
      </c>
      <c r="L67" s="55"/>
    </row>
    <row r="68" spans="1:12" x14ac:dyDescent="0.25">
      <c r="A68" s="63">
        <f t="shared" si="2"/>
        <v>62</v>
      </c>
      <c r="B68" s="64">
        <v>185</v>
      </c>
      <c r="C68" s="60">
        <v>2040</v>
      </c>
      <c r="D68" s="65" t="s">
        <v>109</v>
      </c>
      <c r="E68" s="64" t="s">
        <v>107</v>
      </c>
      <c r="F68" s="66">
        <v>10000000</v>
      </c>
      <c r="G68" s="65">
        <f t="shared" si="1"/>
        <v>6000000</v>
      </c>
      <c r="H68" s="65">
        <f>5900000+100000</f>
        <v>6000000</v>
      </c>
      <c r="I68" s="65">
        <f t="shared" si="3"/>
        <v>4000000</v>
      </c>
      <c r="J68" s="65">
        <f>1200000+1200000+400000+400000+400000+966164+279714-845878</f>
        <v>4000000</v>
      </c>
      <c r="K68" s="70">
        <f>845878-100000</f>
        <v>745878</v>
      </c>
      <c r="L68" s="55"/>
    </row>
    <row r="69" spans="1:12" x14ac:dyDescent="0.25">
      <c r="A69" s="63">
        <f t="shared" si="2"/>
        <v>63</v>
      </c>
      <c r="B69" s="64">
        <v>199</v>
      </c>
      <c r="C69" s="60">
        <v>2040</v>
      </c>
      <c r="D69" s="65" t="s">
        <v>109</v>
      </c>
      <c r="E69" s="64" t="s">
        <v>121</v>
      </c>
      <c r="F69" s="66">
        <v>8700000</v>
      </c>
      <c r="G69" s="65">
        <f t="shared" si="1"/>
        <v>5220000</v>
      </c>
      <c r="H69" s="65">
        <f>9319723-4099723</f>
        <v>5220000</v>
      </c>
      <c r="I69" s="65">
        <f t="shared" si="3"/>
        <v>3480000</v>
      </c>
      <c r="J69" s="65"/>
      <c r="K69" s="70"/>
      <c r="L69" s="55"/>
    </row>
    <row r="70" spans="1:12" x14ac:dyDescent="0.25">
      <c r="A70" s="63">
        <f t="shared" si="2"/>
        <v>64</v>
      </c>
      <c r="B70" s="64">
        <v>200</v>
      </c>
      <c r="C70" s="60">
        <v>2040</v>
      </c>
      <c r="D70" s="65" t="s">
        <v>109</v>
      </c>
      <c r="E70" s="64" t="s">
        <v>122</v>
      </c>
      <c r="F70" s="66">
        <v>14200000</v>
      </c>
      <c r="G70" s="65">
        <f t="shared" si="1"/>
        <v>8520000</v>
      </c>
      <c r="H70" s="65">
        <v>7500000</v>
      </c>
      <c r="I70" s="59">
        <f t="shared" si="3"/>
        <v>5680000</v>
      </c>
      <c r="J70" s="65"/>
      <c r="K70" s="59"/>
    </row>
    <row r="71" spans="1:12" x14ac:dyDescent="0.25">
      <c r="A71" s="60"/>
      <c r="B71" s="77"/>
      <c r="C71" s="78"/>
      <c r="D71" s="65"/>
      <c r="E71" s="79" t="s">
        <v>22</v>
      </c>
      <c r="F71" s="78">
        <f t="shared" ref="F71:K71" si="4">SUM(F7:F70)</f>
        <v>600061000</v>
      </c>
      <c r="G71" s="78">
        <f t="shared" si="4"/>
        <v>360036600</v>
      </c>
      <c r="H71" s="78">
        <f t="shared" si="4"/>
        <v>354497608.69999999</v>
      </c>
      <c r="I71" s="78">
        <f t="shared" si="4"/>
        <v>240024400</v>
      </c>
      <c r="J71" s="78">
        <f t="shared" si="4"/>
        <v>219323833</v>
      </c>
      <c r="K71" s="78">
        <f t="shared" si="4"/>
        <v>37572698</v>
      </c>
    </row>
  </sheetData>
  <pageMargins left="0.31496062992125984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RERA sold units details</vt:lpstr>
      <vt:lpstr>Rera Receipts</vt:lpstr>
      <vt:lpstr>RERA 30.10.2023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modihousing@outlook.com</cp:lastModifiedBy>
  <cp:lastPrinted>2024-02-08T06:03:54Z</cp:lastPrinted>
  <dcterms:created xsi:type="dcterms:W3CDTF">2022-02-25T07:36:07Z</dcterms:created>
  <dcterms:modified xsi:type="dcterms:W3CDTF">2024-04-13T10:00:30Z</dcterms:modified>
</cp:coreProperties>
</file>