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170"/>
  </bookViews>
  <sheets>
    <sheet name="RERA sold units details" sheetId="1" r:id="rId1"/>
    <sheet name="Unit Details" sheetId="2" r:id="rId2"/>
    <sheet name="Loan Details" sheetId="3" state="hidden" r:id="rId3"/>
    <sheet name="Reconciliation" sheetId="4" state="hidden" r:id="rId4"/>
    <sheet name="Project Cost" sheetId="5" state="hidden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1" hidden="1">'Unit Details'!$A$5:$I$230</definedName>
    <definedName name="_xlnm._FilterDatabase" localSheetId="0" hidden="1">'RERA sold units details'!$A$5:$Q$184</definedName>
    <definedName name="_xlnm.Print_Titles" localSheetId="0">'RERA sold units details'!$5:$5</definedName>
    <definedName name="_xlnm.Print_Titles" localSheetId="1">'Unit Details'!$5:$5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<sst xmlns="http://schemas.openxmlformats.org/spreadsheetml/2006/main" count="1163" uniqueCount="463">
  <si>
    <t>Name of firm/company:</t>
  </si>
  <si>
    <t>Modi Realty Mallapur LLP</t>
  </si>
  <si>
    <t>Prepared by:</t>
  </si>
  <si>
    <t>Rajyalakshmi</t>
  </si>
  <si>
    <t>Name of project:</t>
  </si>
  <si>
    <t>Gulmohar Residency</t>
  </si>
  <si>
    <t>Date:</t>
  </si>
  <si>
    <t>Details required as per RERA rules.</t>
  </si>
  <si>
    <t xml:space="preserve">Statement for period upto </t>
  </si>
  <si>
    <t>Apr-2023 to Mar-2024</t>
  </si>
  <si>
    <t>Sl no</t>
  </si>
  <si>
    <t>Unit no.</t>
  </si>
  <si>
    <t>Super-built-uprea in sft</t>
  </si>
  <si>
    <t>Sale rate in Rs/sft</t>
  </si>
  <si>
    <t>Buyer name</t>
  </si>
  <si>
    <t>Booking date</t>
  </si>
  <si>
    <t>Total sale consideration in Rs.</t>
  </si>
  <si>
    <t>Receipts  - FY 17-18</t>
  </si>
  <si>
    <t>Receipts - FY 18-19</t>
  </si>
  <si>
    <t>GST/Misc Exp &amp; Car parking charges</t>
  </si>
  <si>
    <t>Receipts -     FY 19-20</t>
  </si>
  <si>
    <t>Receipts -     FY 20-21</t>
  </si>
  <si>
    <t>Receipts -          FY 21-22</t>
  </si>
  <si>
    <t>Receipts -          FY 22-23</t>
  </si>
  <si>
    <t>Receipts -          FY 23-24</t>
  </si>
  <si>
    <t>Total Receipts</t>
  </si>
  <si>
    <t>Balance receivable</t>
  </si>
  <si>
    <t>A-102</t>
  </si>
  <si>
    <t>Mrs.M Prabhavathi &amp; Mr. GLN Sastry</t>
  </si>
  <si>
    <t>A-103</t>
  </si>
  <si>
    <t>Mr.Nishin Neelambram &amp; Mrs. Divya Paliyalil</t>
  </si>
  <si>
    <t>A-105</t>
  </si>
  <si>
    <t>Mrs. Bathula Bhagya</t>
  </si>
  <si>
    <t>A-106</t>
  </si>
  <si>
    <t>Mr.CH. Bharathi Pushpanjali &amp; CH.S.R. Anjaneyulu</t>
  </si>
  <si>
    <t>A-108</t>
  </si>
  <si>
    <t>Dr. Khadirun Sunkesula</t>
  </si>
  <si>
    <t>A-109</t>
  </si>
  <si>
    <t>Mrs.Pagadala Varalakshmi</t>
  </si>
  <si>
    <t>A-202</t>
  </si>
  <si>
    <t>Mr.Ratan N Mulani</t>
  </si>
  <si>
    <t>A-203</t>
  </si>
  <si>
    <t>M/s.Modi Housing Pvt Ltd</t>
  </si>
  <si>
    <t>A-206</t>
  </si>
  <si>
    <t>Mrs.Chandra P Mulani &amp; Mr.Jayesh P. Mulani</t>
  </si>
  <si>
    <t>A-208</t>
  </si>
  <si>
    <t>A-209</t>
  </si>
  <si>
    <t>Mrs.Shalini Singh &amp; Mr.Manoj Kumar Singh</t>
  </si>
  <si>
    <t>A-302</t>
  </si>
  <si>
    <t>Mrs. Bera Sandhya Rai</t>
  </si>
  <si>
    <t>A-303</t>
  </si>
  <si>
    <t>Mr. Lanka Sridhar</t>
  </si>
  <si>
    <t>A-305</t>
  </si>
  <si>
    <t>Mr N.CH.V.S.Sekhar</t>
  </si>
  <si>
    <t>A-306</t>
  </si>
  <si>
    <t>Mrs. Susmitra Samantara &amp; Mr. Laxmikanta Samantara</t>
  </si>
  <si>
    <t>A-308</t>
  </si>
  <si>
    <t>Mr.T.S.Ramanujam</t>
  </si>
  <si>
    <t>A-309</t>
  </si>
  <si>
    <t>Mr. S. V. Subba Reddy</t>
  </si>
  <si>
    <t>A-402</t>
  </si>
  <si>
    <t>Mrs.P Chaithanya &amp; Mr.B Rajashekar</t>
  </si>
  <si>
    <t>A-403</t>
  </si>
  <si>
    <t>Mr. Kunwar Kant</t>
  </si>
  <si>
    <t>A-405</t>
  </si>
  <si>
    <t>Mrs.Srikakolapu Mani &amp; Mr.S.S.S. Subba Rao</t>
  </si>
  <si>
    <t>A-406</t>
  </si>
  <si>
    <t>Mr. Navin Kumar Patalay</t>
  </si>
  <si>
    <t>A-408</t>
  </si>
  <si>
    <t>Mr Yerram Srinivas</t>
  </si>
  <si>
    <t>A-409</t>
  </si>
  <si>
    <t>Mr. Pavan Kumar Shakhai</t>
  </si>
  <si>
    <t>A-502</t>
  </si>
  <si>
    <t>Mr. Ramesh Chouti &amp; Mrs. Navitha Chouti</t>
  </si>
  <si>
    <t>A-503</t>
  </si>
  <si>
    <t>Mrs.Thatikunda Lalitha</t>
  </si>
  <si>
    <t>A-505</t>
  </si>
  <si>
    <t>Mr. Amit Roy</t>
  </si>
  <si>
    <t>A-506</t>
  </si>
  <si>
    <t>Mrs.P Gruha Lakshmi</t>
  </si>
  <si>
    <t>A-508</t>
  </si>
  <si>
    <t>Mr.Pothalaiah Sake</t>
  </si>
  <si>
    <t>A-509</t>
  </si>
  <si>
    <t>Mr. A.Praveen Kumar Reddy</t>
  </si>
  <si>
    <t>B-102</t>
  </si>
  <si>
    <t>Mr.U Nagaraju</t>
  </si>
  <si>
    <t>B-103</t>
  </si>
  <si>
    <t>Mr.J Shankar Rao</t>
  </si>
  <si>
    <t>B-105</t>
  </si>
  <si>
    <t>Mr.T Sunil</t>
  </si>
  <si>
    <t>B-106</t>
  </si>
  <si>
    <t>Mr. V Sharath Chandra</t>
  </si>
  <si>
    <t>B-108</t>
  </si>
  <si>
    <t>Mrs. Shailaja</t>
  </si>
  <si>
    <t>B-201</t>
  </si>
  <si>
    <t>Mr.Jayesh P Mulani</t>
  </si>
  <si>
    <t>B-203</t>
  </si>
  <si>
    <t>Mr.Suman R Mulani</t>
  </si>
  <si>
    <t>B-204</t>
  </si>
  <si>
    <t>Mr. D.Bhairava Prasad</t>
  </si>
  <si>
    <t>B-206</t>
  </si>
  <si>
    <t>Modi Properties Pvt Ltd</t>
  </si>
  <si>
    <t>B-207</t>
  </si>
  <si>
    <t>B-301</t>
  </si>
  <si>
    <t>Mr. P.Kiran Kumar</t>
  </si>
  <si>
    <t>B-302</t>
  </si>
  <si>
    <t>Mr.K A Jayarajashekhar</t>
  </si>
  <si>
    <t>B-304</t>
  </si>
  <si>
    <t>Mr. Satish Reddy.N &amp; Mrs. Rishita Reddy</t>
  </si>
  <si>
    <t>B-305</t>
  </si>
  <si>
    <t>Mrs. Priyanka Kose &amp; Mr. Hemanth Likhitkar</t>
  </si>
  <si>
    <t>B-308</t>
  </si>
  <si>
    <t>Mr. Valiveti Purushottam &amp; Mrs. Sundari Valiveti</t>
  </si>
  <si>
    <t>B-402</t>
  </si>
  <si>
    <t>Mrs. Neelofer Sultana</t>
  </si>
  <si>
    <t>B-403</t>
  </si>
  <si>
    <t>Mrs. Jyoti Jain &amp; Mr. Gautam Jain</t>
  </si>
  <si>
    <t>B-405</t>
  </si>
  <si>
    <t>Mr.I.Shiv Kumar</t>
  </si>
  <si>
    <t>B-406</t>
  </si>
  <si>
    <t>Mr. Gandluri Phani Kumar &amp; Mrs. G Prasanna</t>
  </si>
  <si>
    <t>B-408</t>
  </si>
  <si>
    <t>Mr. Naga Madhusudan Sarma Vishnubutla</t>
  </si>
  <si>
    <t>B-501</t>
  </si>
  <si>
    <t>Mr. Srinivasulu Chintapally</t>
  </si>
  <si>
    <t>B-503</t>
  </si>
  <si>
    <t>Mr. Gajendra Likhitkar</t>
  </si>
  <si>
    <t>B-504</t>
  </si>
  <si>
    <t>Mr. Kamlesh Patel &amp; Mr. Deepak Patel</t>
  </si>
  <si>
    <t>B-506</t>
  </si>
  <si>
    <t>Mr.Shaik Thamim Ansar</t>
  </si>
  <si>
    <t>B-507</t>
  </si>
  <si>
    <t>Mr. Jawaharlal Amugothu</t>
  </si>
  <si>
    <t>B-601</t>
  </si>
  <si>
    <t>Mr.Govada John Rakesh Kumar</t>
  </si>
  <si>
    <t>B-602</t>
  </si>
  <si>
    <t>Mr.Nanduri Raghu Raman</t>
  </si>
  <si>
    <t>B-604</t>
  </si>
  <si>
    <t>Mr.M.V.K Kishore</t>
  </si>
  <si>
    <t>B-605</t>
  </si>
  <si>
    <t>Mr.Ashutosh Sharma</t>
  </si>
  <si>
    <t>B-607</t>
  </si>
  <si>
    <t>Dr.Jaya Madhuri</t>
  </si>
  <si>
    <t>B-608</t>
  </si>
  <si>
    <t>Mr.Ashfaq Ahmed Tahir</t>
  </si>
  <si>
    <t>C-102</t>
  </si>
  <si>
    <t>Mr.Siva Niranjan Jammula</t>
  </si>
  <si>
    <t>C-103</t>
  </si>
  <si>
    <t>Mr.Durga Bhaskar</t>
  </si>
  <si>
    <t>C-105</t>
  </si>
  <si>
    <t>Mr.K.Uday Kumar Swapna</t>
  </si>
  <si>
    <t>C-106</t>
  </si>
  <si>
    <t>Mr.M.R.K Prasad</t>
  </si>
  <si>
    <t>C-204</t>
  </si>
  <si>
    <t>Mr.Sashi Kiran</t>
  </si>
  <si>
    <t>C-207</t>
  </si>
  <si>
    <t>Mr.Pedapudi Arogya Kumar</t>
  </si>
  <si>
    <t>C-301</t>
  </si>
  <si>
    <t>Mr. K Srirama</t>
  </si>
  <si>
    <t>C-304</t>
  </si>
  <si>
    <t>Mr.T Phani Raja Krishna Kumar</t>
  </si>
  <si>
    <t>C-306</t>
  </si>
  <si>
    <t>Mr. A Praveen</t>
  </si>
  <si>
    <t>C-307</t>
  </si>
  <si>
    <t>Mr.Raji Reddy</t>
  </si>
  <si>
    <t>C-402</t>
  </si>
  <si>
    <t>Mr.Ravi Kanth &amp; Mrs.Bharti</t>
  </si>
  <si>
    <t>C-405</t>
  </si>
  <si>
    <t>Mr.R Prasad Rao</t>
  </si>
  <si>
    <t>C-406</t>
  </si>
  <si>
    <t>Mr.S Satish</t>
  </si>
  <si>
    <t>C-501</t>
  </si>
  <si>
    <t>Mr.O.Vasudeva Sharma/Mrs.O.Naga Sudha</t>
  </si>
  <si>
    <t>C-502</t>
  </si>
  <si>
    <t>Mr.Ramakant Singh</t>
  </si>
  <si>
    <t>C-504</t>
  </si>
  <si>
    <t>Mr.Rahul Jonnalagadda</t>
  </si>
  <si>
    <t>C-505</t>
  </si>
  <si>
    <t>Mr.Sanjoy Bhattacharjee</t>
  </si>
  <si>
    <t>C-507</t>
  </si>
  <si>
    <t>Mrs.Shylaja Amaram</t>
  </si>
  <si>
    <t>C-601</t>
  </si>
  <si>
    <t>Mr.Sarat Chandra</t>
  </si>
  <si>
    <t>C-604</t>
  </si>
  <si>
    <t>Mr.Sujat Kumar Mishra</t>
  </si>
  <si>
    <t>C-606</t>
  </si>
  <si>
    <t>Mr.Koushik Ram</t>
  </si>
  <si>
    <t>C-607</t>
  </si>
  <si>
    <t>Mrs.Shilpa &amp; Mr.Hari Krshna</t>
  </si>
  <si>
    <t>D-103</t>
  </si>
  <si>
    <t>Mr.B.V.V.Santosh</t>
  </si>
  <si>
    <t>D-105</t>
  </si>
  <si>
    <t>Ms.Rachapudi Lakshmi Padamaja</t>
  </si>
  <si>
    <t>D-106</t>
  </si>
  <si>
    <t>Mr.Ravi Prasad R.V.S.K</t>
  </si>
  <si>
    <t>D-108</t>
  </si>
  <si>
    <t>Ms.S.Radhika &amp; Mr.S.Giridhar</t>
  </si>
  <si>
    <t>D-301</t>
  </si>
  <si>
    <t>Mrs.Seetha Reddy Narayana Reddy</t>
  </si>
  <si>
    <t>D-302</t>
  </si>
  <si>
    <t>Mr.Vemagiri Paul Devadatham</t>
  </si>
  <si>
    <t>D-304</t>
  </si>
  <si>
    <t>Mr.Chaganti Mallikarjuna Bhanu</t>
  </si>
  <si>
    <t>D-305</t>
  </si>
  <si>
    <t>Mr.Venkatayogi Sudarshan</t>
  </si>
  <si>
    <t>D-307</t>
  </si>
  <si>
    <t>Ms.Geetha</t>
  </si>
  <si>
    <t>D-308</t>
  </si>
  <si>
    <t>Mr.Kollipara Mohan Rao</t>
  </si>
  <si>
    <t>D-402</t>
  </si>
  <si>
    <t>Mr.Sudheer A</t>
  </si>
  <si>
    <t>D-403</t>
  </si>
  <si>
    <t>Mr.P.N.S Raghu Narayana</t>
  </si>
  <si>
    <t>D-405</t>
  </si>
  <si>
    <t>Mr.Jalapati Venu Gopal</t>
  </si>
  <si>
    <t>D-406</t>
  </si>
  <si>
    <t>Mrs. B Jyothi Lakshmi &amp; Mr. B Gopi</t>
  </si>
  <si>
    <t>D-408</t>
  </si>
  <si>
    <t>Mr.Kiran Kumar K</t>
  </si>
  <si>
    <t>D-501</t>
  </si>
  <si>
    <t>Mr.Praneeth Mada</t>
  </si>
  <si>
    <t>D-503</t>
  </si>
  <si>
    <t>Mr.Nimmala Harsh Goud</t>
  </si>
  <si>
    <t>D-504</t>
  </si>
  <si>
    <t>Mrs.Santoshi Rajaram Naresh Peruri</t>
  </si>
  <si>
    <t>D-506</t>
  </si>
  <si>
    <t>Mr.Raviprasad Ch</t>
  </si>
  <si>
    <t>D-507</t>
  </si>
  <si>
    <t>Mr.Chaitanya Gangadhar Dontabhaktuni</t>
  </si>
  <si>
    <t>D-601</t>
  </si>
  <si>
    <t>Ms.Lavanya Rani</t>
  </si>
  <si>
    <t>D-602</t>
  </si>
  <si>
    <t>Mr.Sandeep Reddy</t>
  </si>
  <si>
    <t>D-604</t>
  </si>
  <si>
    <t>Ms.Neeta rao</t>
  </si>
  <si>
    <t>D-605</t>
  </si>
  <si>
    <t>Mr.G Naveen Reddy</t>
  </si>
  <si>
    <t>D-608</t>
  </si>
  <si>
    <t>Mr.A Ram Prasad</t>
  </si>
  <si>
    <t>E-301</t>
  </si>
  <si>
    <t>Mr.Garimella Krishna</t>
  </si>
  <si>
    <t>E-306</t>
  </si>
  <si>
    <t>Mr.Khadirun Sunkesulu</t>
  </si>
  <si>
    <t>E-307</t>
  </si>
  <si>
    <t>Mr.V.S.S Ganesh Kumar Karri</t>
  </si>
  <si>
    <t>E-403</t>
  </si>
  <si>
    <t>Mr.Nanduri Venkata Kalyan</t>
  </si>
  <si>
    <t>E-405</t>
  </si>
  <si>
    <t>Mr.Srikanth Sharma</t>
  </si>
  <si>
    <t>E-406</t>
  </si>
  <si>
    <t>Mr.Vemula Prasad Rao</t>
  </si>
  <si>
    <t>E-501</t>
  </si>
  <si>
    <t>Mr.Praveen Kumar Meesala</t>
  </si>
  <si>
    <t>E-504</t>
  </si>
  <si>
    <t>Mr.Rakesh.G.R.</t>
  </si>
  <si>
    <t>E-505</t>
  </si>
  <si>
    <t>Jaideep C</t>
  </si>
  <si>
    <t>E-607</t>
  </si>
  <si>
    <t>Krishna Prasad Ch</t>
  </si>
  <si>
    <t>F-102</t>
  </si>
  <si>
    <t>Mr.Neeraja Sri Ram</t>
  </si>
  <si>
    <t>F-106</t>
  </si>
  <si>
    <t>Mr.N V Maruthi Phanidhar</t>
  </si>
  <si>
    <t>F-203</t>
  </si>
  <si>
    <t>F-302</t>
  </si>
  <si>
    <t>Mr.Sanjay Majumder</t>
  </si>
  <si>
    <t>F-303</t>
  </si>
  <si>
    <t>Mr.Syed Akbar Pasha</t>
  </si>
  <si>
    <t>F-305</t>
  </si>
  <si>
    <t>Mrs. Jyothirmayee</t>
  </si>
  <si>
    <t>F-306</t>
  </si>
  <si>
    <t>Mrs.T Vaishnavi/Mr.Srujan</t>
  </si>
  <si>
    <t>F-402</t>
  </si>
  <si>
    <t>Mr.K Pranav</t>
  </si>
  <si>
    <t>F-403</t>
  </si>
  <si>
    <t>Mr.Satya Amar Charanjeevarao Vakacharla</t>
  </si>
  <si>
    <t>F-405</t>
  </si>
  <si>
    <t>Mrs.Naga Srinivasa</t>
  </si>
  <si>
    <t>F-406</t>
  </si>
  <si>
    <t>Mr.Thatiparti Surekha &amp; thatiparti sreekanth</t>
  </si>
  <si>
    <t>F-502</t>
  </si>
  <si>
    <t>Mrs.S B V Naveena</t>
  </si>
  <si>
    <t>F-503</t>
  </si>
  <si>
    <t>Mr. Roshan Singh Chouhan</t>
  </si>
  <si>
    <t>F-505</t>
  </si>
  <si>
    <t>Ms.Shraddha Naik</t>
  </si>
  <si>
    <t>F-506</t>
  </si>
  <si>
    <t>Mrs.G Shiva Kumari</t>
  </si>
  <si>
    <t>F-602</t>
  </si>
  <si>
    <t>Ms.Padmaja Rani &amp; Naimisha</t>
  </si>
  <si>
    <t>F-603</t>
  </si>
  <si>
    <t>Ms.Asra Fatima</t>
  </si>
  <si>
    <t>F-605</t>
  </si>
  <si>
    <t>Sneha Chidara</t>
  </si>
  <si>
    <t>F-606</t>
  </si>
  <si>
    <t>Mr.Meet Bharat Mehta</t>
  </si>
  <si>
    <t>G-103</t>
  </si>
  <si>
    <t>Mrs.Sushama Patwardhan</t>
  </si>
  <si>
    <t>G-105</t>
  </si>
  <si>
    <t>Mr.Vivek Raja</t>
  </si>
  <si>
    <t>G-207</t>
  </si>
  <si>
    <t>Mrs.Renuka A</t>
  </si>
  <si>
    <t>G-301</t>
  </si>
  <si>
    <t>Mr.Niresh Thalyyal</t>
  </si>
  <si>
    <t>G-303</t>
  </si>
  <si>
    <t>Mr.Naveen Kumar Ginige</t>
  </si>
  <si>
    <t>G-304</t>
  </si>
  <si>
    <t>Mr.Sateesh Kumar Surya</t>
  </si>
  <si>
    <t>G-306</t>
  </si>
  <si>
    <t>Mr.Sreekar Suri</t>
  </si>
  <si>
    <t>G-307</t>
  </si>
  <si>
    <t>Mr.Shivaji S.Kadam</t>
  </si>
  <si>
    <t>G-402</t>
  </si>
  <si>
    <t>Mr.Aparna Nori</t>
  </si>
  <si>
    <t>G-403</t>
  </si>
  <si>
    <t>Mrs.Shivarapu Radhika</t>
  </si>
  <si>
    <t>G-405</t>
  </si>
  <si>
    <t>Mr.Shiva Kumar Prathap</t>
  </si>
  <si>
    <t>G-406</t>
  </si>
  <si>
    <t>Mr.Konduru Sreekanth</t>
  </si>
  <si>
    <t>G-501</t>
  </si>
  <si>
    <t>Dr.Panjola Ashok</t>
  </si>
  <si>
    <t>G-502</t>
  </si>
  <si>
    <t>Mr.S. Yuvar</t>
  </si>
  <si>
    <t>G-504</t>
  </si>
  <si>
    <t>Mrs.Aruna &amp; Mr.Chandra Sekhar Reddy</t>
  </si>
  <si>
    <t>G-505</t>
  </si>
  <si>
    <t>Mr.Ravuri Susheel Kumar</t>
  </si>
  <si>
    <t>G-507</t>
  </si>
  <si>
    <t>Mr.PV Ravi Kiran</t>
  </si>
  <si>
    <t>G-601</t>
  </si>
  <si>
    <t>Mr.Karthik Mylavarupu</t>
  </si>
  <si>
    <t>G-603</t>
  </si>
  <si>
    <t>Ms.Ramala Kavitha</t>
  </si>
  <si>
    <t>G-604</t>
  </si>
  <si>
    <t>Mrs.Neeta Rao</t>
  </si>
  <si>
    <t>G-607</t>
  </si>
  <si>
    <t>Mr.Surya Kiran</t>
  </si>
  <si>
    <t>H-105</t>
  </si>
  <si>
    <t>Mr.Alok Kanti Samaddar</t>
  </si>
  <si>
    <t>H-204</t>
  </si>
  <si>
    <t>Mr.T. Lavanya</t>
  </si>
  <si>
    <t>H-207</t>
  </si>
  <si>
    <t>Mr.Srinivas Vemparala</t>
  </si>
  <si>
    <t>H-301</t>
  </si>
  <si>
    <t>Mr.Satish Sonbarao Gudup</t>
  </si>
  <si>
    <t>H-303</t>
  </si>
  <si>
    <t>Giridhar . L</t>
  </si>
  <si>
    <t>H-304</t>
  </si>
  <si>
    <t>Mr.E.Venkat Sridhar</t>
  </si>
  <si>
    <t>H-306</t>
  </si>
  <si>
    <t>Mr.Sunkara Ravendranath Choudhary</t>
  </si>
  <si>
    <t>H-402</t>
  </si>
  <si>
    <t>Dr.Ramakrishna Manikyam</t>
  </si>
  <si>
    <t>H-405</t>
  </si>
  <si>
    <t>Mr.Kanakaiah Mallaiah Kondur</t>
  </si>
  <si>
    <t>H-406</t>
  </si>
  <si>
    <t>Mr.Jahnavi Nayak</t>
  </si>
  <si>
    <t>H-501</t>
  </si>
  <si>
    <t>Mr.Sandipa Roy</t>
  </si>
  <si>
    <t>H-502</t>
  </si>
  <si>
    <t>Mr.Surya Teja.G</t>
  </si>
  <si>
    <t>H-504</t>
  </si>
  <si>
    <t>Mr.Mahesh Rathod</t>
  </si>
  <si>
    <t>H-505</t>
  </si>
  <si>
    <t>M.S Raghavendra Rao</t>
  </si>
  <si>
    <t>H-507</t>
  </si>
  <si>
    <t>M.V.N Abhishek Rao</t>
  </si>
  <si>
    <t>H-601</t>
  </si>
  <si>
    <t>Mr.Vinay Harsh Puttaboyina</t>
  </si>
  <si>
    <t>H-604</t>
  </si>
  <si>
    <t>Mr.Subrahmanyam V.V.S</t>
  </si>
  <si>
    <t>H-606</t>
  </si>
  <si>
    <t>Ashish Kumar Sinha</t>
  </si>
  <si>
    <t>H-607</t>
  </si>
  <si>
    <t>Mr.Jnanesha A.C</t>
  </si>
  <si>
    <t>TOTAL</t>
  </si>
  <si>
    <t>Units Details</t>
  </si>
  <si>
    <t>Statement for period upto:</t>
  </si>
  <si>
    <t>Sl. No.</t>
  </si>
  <si>
    <t>Block</t>
  </si>
  <si>
    <t>Unit No.</t>
  </si>
  <si>
    <t>Carpet area in sft</t>
  </si>
  <si>
    <t>Built-up area in sft</t>
  </si>
  <si>
    <t>Super built-up area in sft</t>
  </si>
  <si>
    <t>Undivided share of land or plot area in sq yds</t>
  </si>
  <si>
    <t>Status - Mortgaged to local authority</t>
  </si>
  <si>
    <t>Allotted to Owner / Developer</t>
  </si>
  <si>
    <t>A</t>
  </si>
  <si>
    <t>sold</t>
  </si>
  <si>
    <t>Developer</t>
  </si>
  <si>
    <t>B</t>
  </si>
  <si>
    <t>C</t>
  </si>
  <si>
    <t>unsold</t>
  </si>
  <si>
    <t>D</t>
  </si>
  <si>
    <t>E</t>
  </si>
  <si>
    <t>F</t>
  </si>
  <si>
    <t>G</t>
  </si>
  <si>
    <t>H</t>
  </si>
  <si>
    <t>Total</t>
  </si>
  <si>
    <t xml:space="preserve">Borrowings / Mortgage Details </t>
  </si>
  <si>
    <t>A.</t>
  </si>
  <si>
    <t>Borrowing Details</t>
  </si>
  <si>
    <t>Name of the Lender :</t>
  </si>
  <si>
    <t>Tata Capital Financial Services Limited</t>
  </si>
  <si>
    <t>Amount Disbursed :</t>
  </si>
  <si>
    <t>Amount Pending for disbursement from  Lender :</t>
  </si>
  <si>
    <t>Amount to be repaid to Lender :</t>
  </si>
  <si>
    <t>B.</t>
  </si>
  <si>
    <t>Mortgage Details</t>
  </si>
  <si>
    <t>Not Applicable</t>
  </si>
  <si>
    <t>Name of firm/company: Modi Realty Mallapur LLP</t>
  </si>
  <si>
    <t>Name of project: Gulmohar Residency</t>
  </si>
  <si>
    <t>Prepared by: Rajyalakshmi</t>
  </si>
  <si>
    <t>Date:31-12-2023</t>
  </si>
  <si>
    <t>Details of transactions in the designated RERA Bank Account (include pre RERA tansactions in case of ongoing projects, wherever applicable)</t>
  </si>
  <si>
    <t>a.</t>
  </si>
  <si>
    <t>Total number of units booked</t>
  </si>
  <si>
    <t>Units</t>
  </si>
  <si>
    <t>b.</t>
  </si>
  <si>
    <t>Total amount realized from sale of units during the quarer</t>
  </si>
  <si>
    <t>c.</t>
  </si>
  <si>
    <t>Total amount deposited into the bank out of sale proceeds during the quarter</t>
  </si>
  <si>
    <t>d.</t>
  </si>
  <si>
    <t>%  of Deposit made</t>
  </si>
  <si>
    <t>Reconciliation for the Quarter</t>
  </si>
  <si>
    <t>Opening Date (Quarter Start Date)</t>
  </si>
  <si>
    <t>Opening Balance as per Bank Statement (to match with the previous quarter closing bank balance)</t>
  </si>
  <si>
    <t>Deposits during the quarter on account of sale</t>
  </si>
  <si>
    <t>Other Deposits made (if any)</t>
  </si>
  <si>
    <t>e.</t>
  </si>
  <si>
    <t>Withdrawals during the Quarter from Sale Proceeds</t>
  </si>
  <si>
    <t>f.</t>
  </si>
  <si>
    <t>Other withdrawals made (if any)</t>
  </si>
  <si>
    <t>g.</t>
  </si>
  <si>
    <t>Closing balance as per Bank Statement</t>
  </si>
  <si>
    <t>h.</t>
  </si>
  <si>
    <t>Closing Date (Quater End Date)</t>
  </si>
  <si>
    <t>Cumulative Reconciliation from the beginning of the project:</t>
  </si>
  <si>
    <t>Opening Balance of the account</t>
  </si>
  <si>
    <t> Total deposits made from the sale proceeds</t>
  </si>
  <si>
    <t> Total deposits made other than sale proceeds (if any)</t>
  </si>
  <si>
    <t>  Total Withdrawals made from the sale proceeds</t>
  </si>
  <si>
    <t>  Total withdrawals made other than those from sale proceeds (if any)</t>
  </si>
  <si>
    <t>Closing balance for the current quarter (a+b+c)-(d+e)</t>
  </si>
  <si>
    <t>Estimated of IT - Percentage completion method</t>
  </si>
  <si>
    <t>PROJECT ESTIMATION</t>
  </si>
  <si>
    <t>Proposed Cost Developers</t>
  </si>
  <si>
    <t>sft</t>
  </si>
  <si>
    <t>Proposed Cost - Owner</t>
  </si>
  <si>
    <t>Revenue</t>
  </si>
  <si>
    <t>Sale rate</t>
  </si>
  <si>
    <t>Rs</t>
  </si>
  <si>
    <t>Sales revenue</t>
  </si>
  <si>
    <t>Exp</t>
  </si>
  <si>
    <t>Land</t>
  </si>
  <si>
    <t>Sanction cost</t>
  </si>
  <si>
    <t>Costruction rate</t>
  </si>
  <si>
    <t>Costruction cost</t>
  </si>
  <si>
    <t>Project Cost for The F.Y.2022-2023</t>
  </si>
  <si>
    <t>Total cost</t>
  </si>
  <si>
    <t>Gross Profit</t>
  </si>
  <si>
    <t>Gross profit %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</si>
</sst>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176" formatCode="_ * #,##0.00_ ;_ * \-#,##0.00_ ;_ * &quot;-&quot;??_ ;_ @_ "/>
    <numFmt numFmtId="177" formatCode="_ &quot;₹&quot;* #,##0.00_ ;_ &quot;₹&quot;* \-#,##0.00_ ;_ &quot;₹&quot;* &quot;-&quot;??_ ;_ @_ "/>
    <numFmt numFmtId="178" formatCode="_ * #,##0_ ;_ * \-#,##0_ ;_ * &quot;-&quot;_ ;_ @_ "/>
    <numFmt numFmtId="179" formatCode="_ &quot;₹&quot;* #,##0_ ;_ &quot;₹&quot;* \-#,##0_ ;_ &quot;₹&quot;* &quot;-&quot;_ ;_ @_ "/>
    <numFmt numFmtId="180" formatCode="_(* #,##0_);_(* \(#,##0\);_(* &quot;-&quot;??_);_(@_)"/>
    <numFmt numFmtId="181" formatCode="dd/mm/yyyy"/>
    <numFmt numFmtId="182" formatCode="[$-409]d/mmm/yy;@"/>
    <numFmt numFmtId="183" formatCode="_ * #,##0_ ;_ * \-#,##0_ ;_ * &quot;-&quot;??_ ;_ @_ "/>
  </numFmts>
  <fonts count="30">
    <font>
      <sz val="11"/>
      <color theme="1"/>
      <name val="Calibri"/>
      <charset val="134"/>
      <scheme val="minor"/>
    </font>
    <font>
      <sz val="10"/>
      <color theme="1"/>
      <name val="Times New Roman"/>
      <charset val="134"/>
    </font>
    <font>
      <b/>
      <sz val="10"/>
      <color rgb="FFFF0000"/>
      <name val="Times New Roman"/>
      <charset val="134"/>
    </font>
    <font>
      <sz val="11"/>
      <color theme="1"/>
      <name val="Times New Roman"/>
      <charset val="134"/>
    </font>
    <font>
      <sz val="11"/>
      <name val="Times New Roman"/>
      <charset val="134"/>
    </font>
    <font>
      <sz val="10"/>
      <color theme="1"/>
      <name val="Calibri"/>
      <charset val="134"/>
    </font>
    <font>
      <sz val="10"/>
      <name val="Calibri"/>
      <charset val="134"/>
    </font>
    <font>
      <sz val="9"/>
      <name val="Times New Roman"/>
      <charset val="134"/>
    </font>
    <font>
      <sz val="10"/>
      <name val="Times New Roman"/>
      <charset val="134"/>
    </font>
    <font>
      <sz val="10"/>
      <color rgb="FFFF0000"/>
      <name val="Times New Roman"/>
      <charset val="134"/>
    </font>
    <font>
      <sz val="9"/>
      <color rgb="FFFF0000"/>
      <name val="Times New Roman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5" borderId="6" applyNumberFormat="0" applyAlignment="0" applyProtection="0">
      <alignment vertical="center"/>
    </xf>
    <xf numFmtId="0" fontId="22" fillId="6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/>
    <xf numFmtId="0" fontId="0" fillId="0" borderId="0"/>
  </cellStyleXfs>
  <cellXfs count="85">
    <xf numFmtId="0" fontId="0" fillId="0" borderId="0" xfId="0"/>
    <xf numFmtId="0" fontId="1" fillId="0" borderId="0" xfId="0" applyFont="1"/>
    <xf numFmtId="180" fontId="1" fillId="0" borderId="0" xfId="1" applyNumberFormat="1" applyFont="1"/>
    <xf numFmtId="181" fontId="1" fillId="0" borderId="0" xfId="0" applyNumberFormat="1" applyFont="1"/>
    <xf numFmtId="0" fontId="1" fillId="0" borderId="0" xfId="0" applyFont="1" applyAlignment="1">
      <alignment horizontal="left"/>
    </xf>
    <xf numFmtId="180" fontId="1" fillId="0" borderId="0" xfId="0" applyNumberFormat="1" applyFont="1"/>
    <xf numFmtId="0" fontId="2" fillId="2" borderId="0" xfId="0" applyFont="1" applyFill="1"/>
    <xf numFmtId="180" fontId="2" fillId="2" borderId="0" xfId="1" applyNumberFormat="1" applyFont="1" applyFill="1"/>
    <xf numFmtId="9" fontId="1" fillId="0" borderId="0" xfId="3" applyFont="1" applyAlignment="1"/>
    <xf numFmtId="0" fontId="3" fillId="0" borderId="0" xfId="0" applyFont="1"/>
    <xf numFmtId="0" fontId="4" fillId="0" borderId="0" xfId="0" applyFont="1" applyBorder="1"/>
    <xf numFmtId="0" fontId="4" fillId="0" borderId="0" xfId="0" applyFont="1" applyFill="1" applyBorder="1"/>
    <xf numFmtId="0" fontId="3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 applyAlignment="1"/>
    <xf numFmtId="176" fontId="3" fillId="0" borderId="0" xfId="1" applyFont="1"/>
    <xf numFmtId="9" fontId="3" fillId="0" borderId="0" xfId="3" applyFont="1" applyAlignment="1"/>
    <xf numFmtId="181" fontId="3" fillId="0" borderId="0" xfId="0" applyNumberFormat="1" applyFont="1"/>
    <xf numFmtId="0" fontId="3" fillId="0" borderId="0" xfId="0" applyFont="1" applyAlignment="1">
      <alignment horizontal="left"/>
    </xf>
    <xf numFmtId="176" fontId="4" fillId="0" borderId="0" xfId="0" applyNumberFormat="1" applyFont="1"/>
    <xf numFmtId="176" fontId="4" fillId="0" borderId="0" xfId="1" applyFont="1"/>
    <xf numFmtId="176" fontId="3" fillId="0" borderId="0" xfId="0" applyNumberFormat="1" applyFont="1"/>
    <xf numFmtId="0" fontId="4" fillId="0" borderId="0" xfId="0" applyFont="1"/>
    <xf numFmtId="0" fontId="5" fillId="0" borderId="0" xfId="0" applyFont="1"/>
    <xf numFmtId="0" fontId="6" fillId="0" borderId="0" xfId="0" applyFont="1" applyBorder="1"/>
    <xf numFmtId="0" fontId="6" fillId="0" borderId="0" xfId="0" applyFont="1" applyFill="1" applyBorder="1" applyAlignment="1">
      <alignment horizontal="left"/>
    </xf>
    <xf numFmtId="0" fontId="6" fillId="0" borderId="0" xfId="0" applyFont="1" applyFill="1" applyBorder="1"/>
    <xf numFmtId="176" fontId="6" fillId="0" borderId="0" xfId="1" applyFont="1" applyFill="1" applyBorder="1"/>
    <xf numFmtId="182" fontId="6" fillId="0" borderId="0" xfId="0" applyNumberFormat="1" applyFont="1" applyFill="1" applyBorder="1" applyAlignment="1">
      <alignment horizontal="left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183" fontId="5" fillId="0" borderId="0" xfId="1" applyNumberFormat="1" applyFont="1"/>
    <xf numFmtId="0" fontId="5" fillId="0" borderId="0" xfId="0" applyFont="1" applyAlignment="1">
      <alignment vertical="center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/>
    </xf>
    <xf numFmtId="176" fontId="1" fillId="0" borderId="0" xfId="1" applyFont="1"/>
    <xf numFmtId="176" fontId="1" fillId="0" borderId="0" xfId="1" applyFont="1" applyAlignment="1">
      <alignment horizontal="right"/>
    </xf>
    <xf numFmtId="182" fontId="1" fillId="0" borderId="0" xfId="0" applyNumberFormat="1" applyFont="1"/>
    <xf numFmtId="0" fontId="7" fillId="0" borderId="0" xfId="0" applyFont="1" applyFill="1" applyBorder="1"/>
    <xf numFmtId="0" fontId="1" fillId="0" borderId="1" xfId="0" applyFont="1" applyFill="1" applyBorder="1" applyAlignment="1">
      <alignment horizontal="left" wrapText="1"/>
    </xf>
    <xf numFmtId="176" fontId="1" fillId="0" borderId="1" xfId="1" applyFont="1" applyFill="1" applyBorder="1" applyAlignment="1">
      <alignment horizontal="left" wrapText="1"/>
    </xf>
    <xf numFmtId="0" fontId="8" fillId="0" borderId="0" xfId="0" applyFont="1" applyFill="1" applyAlignment="1">
      <alignment horizontal="center"/>
    </xf>
    <xf numFmtId="0" fontId="8" fillId="0" borderId="0" xfId="0" applyFont="1" applyFill="1"/>
    <xf numFmtId="180" fontId="8" fillId="0" borderId="0" xfId="1" applyNumberFormat="1" applyFont="1" applyFill="1"/>
    <xf numFmtId="1" fontId="8" fillId="0" borderId="0" xfId="1" applyNumberFormat="1" applyFont="1" applyFill="1"/>
    <xf numFmtId="176" fontId="8" fillId="0" borderId="0" xfId="1" applyFont="1" applyFill="1" applyAlignment="1"/>
    <xf numFmtId="181" fontId="1" fillId="0" borderId="0" xfId="0" applyNumberFormat="1" applyFont="1" applyAlignment="1">
      <alignment horizontal="left"/>
    </xf>
    <xf numFmtId="176" fontId="1" fillId="0" borderId="0" xfId="1" applyFont="1" applyAlignment="1">
      <alignment horizontal="left"/>
    </xf>
    <xf numFmtId="176" fontId="8" fillId="0" borderId="0" xfId="1" applyFont="1" applyFill="1" applyAlignment="1">
      <alignment horizontal="right"/>
    </xf>
    <xf numFmtId="1" fontId="8" fillId="0" borderId="0" xfId="0" applyNumberFormat="1" applyFont="1" applyFill="1"/>
    <xf numFmtId="176" fontId="8" fillId="0" borderId="0" xfId="1" applyFont="1" applyFill="1"/>
    <xf numFmtId="0" fontId="8" fillId="0" borderId="2" xfId="0" applyFont="1" applyFill="1" applyBorder="1" applyAlignment="1">
      <alignment horizontal="center"/>
    </xf>
    <xf numFmtId="0" fontId="8" fillId="0" borderId="2" xfId="0" applyFont="1" applyFill="1" applyBorder="1"/>
    <xf numFmtId="180" fontId="8" fillId="0" borderId="2" xfId="0" applyNumberFormat="1" applyFont="1" applyFill="1" applyBorder="1"/>
    <xf numFmtId="176" fontId="8" fillId="0" borderId="2" xfId="1" applyFont="1" applyFill="1" applyBorder="1"/>
    <xf numFmtId="176" fontId="8" fillId="0" borderId="2" xfId="1" applyFont="1" applyFill="1" applyBorder="1" applyAlignment="1">
      <alignment horizontal="right"/>
    </xf>
    <xf numFmtId="0" fontId="8" fillId="0" borderId="0" xfId="0" applyFont="1" applyBorder="1" applyAlignment="1">
      <alignment horizontal="center" wrapText="1"/>
    </xf>
    <xf numFmtId="0" fontId="8" fillId="0" borderId="0" xfId="0" applyFont="1" applyFill="1" applyBorder="1"/>
    <xf numFmtId="0" fontId="9" fillId="0" borderId="0" xfId="0" applyFont="1" applyFill="1" applyBorder="1"/>
    <xf numFmtId="0" fontId="8" fillId="0" borderId="0" xfId="0" applyFont="1" applyBorder="1"/>
    <xf numFmtId="176" fontId="8" fillId="0" borderId="0" xfId="1" applyFont="1" applyBorder="1"/>
    <xf numFmtId="182" fontId="8" fillId="0" borderId="0" xfId="1" applyNumberFormat="1" applyFont="1" applyBorder="1"/>
    <xf numFmtId="0" fontId="7" fillId="0" borderId="0" xfId="0" applyFont="1" applyBorder="1"/>
    <xf numFmtId="176" fontId="7" fillId="0" borderId="0" xfId="1" applyFont="1" applyFill="1" applyBorder="1"/>
    <xf numFmtId="0" fontId="7" fillId="0" borderId="0" xfId="0" applyFont="1" applyFill="1" applyBorder="1" applyAlignment="1">
      <alignment horizontal="left"/>
    </xf>
    <xf numFmtId="0" fontId="10" fillId="0" borderId="0" xfId="0" applyFont="1" applyFill="1" applyBorder="1" applyAlignment="1">
      <alignment horizontal="left"/>
    </xf>
    <xf numFmtId="182" fontId="7" fillId="0" borderId="0" xfId="1" applyNumberFormat="1" applyFont="1" applyFill="1" applyBorder="1"/>
    <xf numFmtId="0" fontId="7" fillId="0" borderId="1" xfId="0" applyFont="1" applyFill="1" applyBorder="1" applyAlignment="1">
      <alignment horizontal="center" wrapText="1"/>
    </xf>
    <xf numFmtId="182" fontId="7" fillId="0" borderId="1" xfId="0" applyNumberFormat="1" applyFont="1" applyFill="1" applyBorder="1" applyAlignment="1">
      <alignment horizontal="center" wrapText="1"/>
    </xf>
    <xf numFmtId="0" fontId="7" fillId="0" borderId="0" xfId="0" applyFont="1" applyFill="1" applyBorder="1" applyAlignment="1">
      <alignment horizontal="center"/>
    </xf>
    <xf numFmtId="183" fontId="7" fillId="0" borderId="0" xfId="1" applyNumberFormat="1" applyFont="1" applyFill="1" applyBorder="1"/>
    <xf numFmtId="182" fontId="7" fillId="0" borderId="0" xfId="0" applyNumberFormat="1" applyFont="1" applyFill="1" applyBorder="1" applyAlignment="1">
      <alignment horizontal="left"/>
    </xf>
    <xf numFmtId="176" fontId="8" fillId="0" borderId="0" xfId="1" applyFont="1" applyFill="1" applyBorder="1"/>
    <xf numFmtId="182" fontId="8" fillId="0" borderId="0" xfId="0" applyNumberFormat="1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182" fontId="7" fillId="0" borderId="0" xfId="0" applyNumberFormat="1" applyFont="1" applyFill="1" applyBorder="1" applyAlignment="1">
      <alignment horizontal="center"/>
    </xf>
    <xf numFmtId="183" fontId="7" fillId="0" borderId="0" xfId="1" applyNumberFormat="1" applyFont="1" applyFill="1" applyBorder="1" applyAlignment="1">
      <alignment horizontal="center"/>
    </xf>
    <xf numFmtId="0" fontId="7" fillId="0" borderId="1" xfId="0" applyFont="1" applyFill="1" applyBorder="1"/>
    <xf numFmtId="176" fontId="7" fillId="0" borderId="1" xfId="1" applyFont="1" applyFill="1" applyBorder="1"/>
    <xf numFmtId="183" fontId="7" fillId="0" borderId="1" xfId="0" applyNumberFormat="1" applyFont="1" applyFill="1" applyBorder="1"/>
    <xf numFmtId="183" fontId="7" fillId="0" borderId="1" xfId="1" applyNumberFormat="1" applyFont="1" applyFill="1" applyBorder="1"/>
    <xf numFmtId="0" fontId="8" fillId="0" borderId="1" xfId="0" applyFont="1" applyFill="1" applyBorder="1"/>
    <xf numFmtId="182" fontId="7" fillId="0" borderId="1" xfId="1" applyNumberFormat="1" applyFont="1" applyFill="1" applyBorder="1"/>
    <xf numFmtId="183" fontId="8" fillId="0" borderId="0" xfId="0" applyNumberFormat="1" applyFont="1" applyBorder="1"/>
    <xf numFmtId="183" fontId="8" fillId="0" borderId="0" xfId="1" applyNumberFormat="1" applyFont="1" applyBorder="1"/>
  </cellXfs>
  <cellStyles count="51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Comma 2" xfId="49"/>
    <cellStyle name="Normal 13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4.xml"/><Relationship Id="rId8" Type="http://schemas.openxmlformats.org/officeDocument/2006/relationships/externalLink" Target="externalLinks/externalLink3.xml"/><Relationship Id="rId7" Type="http://schemas.openxmlformats.org/officeDocument/2006/relationships/externalLink" Target="externalLinks/externalLink2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haredStrings" Target="sharedStrings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9\Users\sambasiva\Desktop\Provisional%20Financial%20Statements\Modi%20Realty%20Mallapur%20LLP%20Provisional%20Computation%20AY%202021-2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9\d\My%20Documents%20of%20Accounts\Income%20Tax\Income%20tax%20returns%20AY%202023-24\Modi%20Realty%20Mallapur%20LLP%20IT%20Return%20A.Y.2023-20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9\d\My%20Documents%20of%20Accounts\Modi%20Realty%20Mallapur%20LLP\Rera\Rera%20Report_30-09-20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9\d\My%20Documents%20of%20Accounts\Income%20Tax\Income%20tax%20returns%20AY%202024-25\Modi%20Realty%20Mallapur%20LLP\Modi%20Realty%20Mallapur%20LLP%20IT%20Return%20_Q4_A.Y.2024-20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BS"/>
      <sheetName val="CAC &amp; P&amp;L"/>
      <sheetName val="P CAPITAL AC"/>
      <sheetName val="BS SCHEDULE"/>
      <sheetName val="FA"/>
      <sheetName val="P&amp;L SCHEDULES"/>
      <sheetName val="WIP"/>
      <sheetName val="PP"/>
      <sheetName val="PCM"/>
      <sheetName val="COMPUTATION"/>
      <sheetName val="Sheet1"/>
    </sheetNames>
    <sheetDataSet>
      <sheetData sheetId="0" refreshError="1">
        <row r="1">
          <cell r="A1" t="str">
            <v>ASSESSMENT YEAR</v>
          </cell>
        </row>
        <row r="1">
          <cell r="E1" t="str">
            <v>BALANCES AS ON:</v>
          </cell>
        </row>
        <row r="2">
          <cell r="A2" t="str">
            <v>NAME OF THE ENTITY:</v>
          </cell>
        </row>
        <row r="2">
          <cell r="C2" t="str">
            <v>M/s. MODI REALTY MALLAPUR LLP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BS"/>
      <sheetName val="CAC &amp; P&amp;L"/>
      <sheetName val="P CAPITAL AC"/>
      <sheetName val="BS SCHEDULE"/>
      <sheetName val="FA"/>
      <sheetName val="P&amp;L SCHEDULES"/>
      <sheetName val="WIP"/>
      <sheetName val="PP"/>
      <sheetName val="PCM"/>
      <sheetName val="COMPUTATION"/>
      <sheetName val="Sheet2"/>
      <sheetName val="Sheet1"/>
      <sheetName val="Sheet3"/>
    </sheetNames>
    <sheetDataSet>
      <sheetData sheetId="0">
        <row r="1">
          <cell r="C1" t="str">
            <v>2023-2024</v>
          </cell>
        </row>
        <row r="1">
          <cell r="G1">
            <v>45016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>
        <row r="190">
          <cell r="H190">
            <v>4498.73942324296</v>
          </cell>
        </row>
      </sheetData>
      <sheetData sheetId="9"/>
      <sheetData sheetId="10"/>
      <sheetData sheetId="11"/>
      <sheetData sheetId="12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RERA sold units details"/>
      <sheetName val="Unit Details"/>
      <sheetName val="Loan Details"/>
      <sheetName val="Reconciliation"/>
      <sheetName val="Project Cost"/>
    </sheetNames>
    <sheetDataSet>
      <sheetData sheetId="0">
        <row r="171">
          <cell r="N171">
            <v>396486792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BS"/>
      <sheetName val="CAC &amp; P&amp;L"/>
      <sheetName val="P CAPITAL AC"/>
      <sheetName val="BS SCHEDULE"/>
      <sheetName val="FA"/>
      <sheetName val="P&amp;L SCHEDULES"/>
      <sheetName val="WIP"/>
      <sheetName val="PP"/>
      <sheetName val="PCM"/>
      <sheetName val="COMPUTATION"/>
      <sheetName val="Sheet2"/>
      <sheetName val="Sheet1"/>
      <sheetName val="Sheet3"/>
      <sheetName val="Sheet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211">
          <cell r="H211">
            <v>1231425000</v>
          </cell>
        </row>
      </sheetData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F0"/>
  </sheetPr>
  <dimension ref="A1:Q187"/>
  <sheetViews>
    <sheetView tabSelected="1" zoomScale="110" zoomScaleNormal="110" workbookViewId="0">
      <pane xSplit="4" ySplit="5" topLeftCell="E150" activePane="bottomRight" state="frozen"/>
      <selection/>
      <selection pane="topRight"/>
      <selection pane="bottomLeft"/>
      <selection pane="bottomRight" activeCell="G187" sqref="G187"/>
    </sheetView>
  </sheetViews>
  <sheetFormatPr defaultColWidth="9" defaultRowHeight="12.75"/>
  <cols>
    <col min="1" max="1" width="3.84761904761905" style="59" customWidth="1"/>
    <col min="2" max="2" width="5.42857142857143" style="57" customWidth="1"/>
    <col min="3" max="3" width="8.42857142857143" style="59" customWidth="1"/>
    <col min="4" max="4" width="6.71428571428571" style="60" customWidth="1"/>
    <col min="5" max="5" width="19.847619047619" style="60" customWidth="1"/>
    <col min="6" max="6" width="9" style="61" customWidth="1"/>
    <col min="7" max="7" width="12.1428571428571" style="59" customWidth="1"/>
    <col min="8" max="8" width="9.28571428571429" style="60" hidden="1" customWidth="1"/>
    <col min="9" max="9" width="9" style="60" hidden="1" customWidth="1"/>
    <col min="10" max="10" width="10.5714285714286" style="60" customWidth="1"/>
    <col min="11" max="11" width="9.28571428571429" style="60" customWidth="1"/>
    <col min="12" max="12" width="11" style="59" customWidth="1"/>
    <col min="13" max="16" width="12.1428571428571" style="59" customWidth="1"/>
    <col min="17" max="17" width="10.847619047619" style="59" customWidth="1"/>
    <col min="18" max="16378" width="9.14285714285714" style="59"/>
    <col min="16379" max="16384" width="9" style="59"/>
  </cols>
  <sheetData>
    <row r="1" spans="1:17">
      <c r="A1" s="62" t="s">
        <v>0</v>
      </c>
      <c r="B1" s="38"/>
      <c r="C1" s="57"/>
      <c r="D1" s="63"/>
      <c r="E1" s="64" t="s">
        <v>1</v>
      </c>
      <c r="F1" s="38" t="s">
        <v>2</v>
      </c>
      <c r="G1" s="38"/>
      <c r="H1" s="38"/>
      <c r="I1" s="72"/>
      <c r="J1" s="72"/>
      <c r="K1" s="64" t="s">
        <v>3</v>
      </c>
      <c r="L1" s="38"/>
      <c r="M1" s="38"/>
      <c r="N1" s="38"/>
      <c r="O1" s="38"/>
      <c r="P1" s="38"/>
      <c r="Q1" s="38"/>
    </row>
    <row r="2" spans="1:17">
      <c r="A2" s="62" t="s">
        <v>4</v>
      </c>
      <c r="B2" s="38"/>
      <c r="C2" s="57"/>
      <c r="D2" s="63"/>
      <c r="E2" s="64" t="s">
        <v>5</v>
      </c>
      <c r="F2" s="38" t="s">
        <v>6</v>
      </c>
      <c r="G2" s="38"/>
      <c r="H2" s="38"/>
      <c r="I2" s="72"/>
      <c r="J2" s="72"/>
      <c r="K2" s="73">
        <v>45394</v>
      </c>
      <c r="L2" s="38"/>
      <c r="M2" s="38"/>
      <c r="N2" s="38"/>
      <c r="O2" s="38"/>
      <c r="P2" s="38"/>
      <c r="Q2" s="38"/>
    </row>
    <row r="3" spans="1:17">
      <c r="A3" s="62" t="s">
        <v>7</v>
      </c>
      <c r="B3" s="38"/>
      <c r="C3" s="57"/>
      <c r="D3" s="63"/>
      <c r="E3" s="65"/>
      <c r="F3" s="38" t="s">
        <v>8</v>
      </c>
      <c r="G3" s="38"/>
      <c r="H3" s="38"/>
      <c r="I3" s="72"/>
      <c r="J3" s="72"/>
      <c r="K3" s="74" t="s">
        <v>9</v>
      </c>
      <c r="L3" s="38"/>
      <c r="M3" s="38"/>
      <c r="N3" s="38"/>
      <c r="O3" s="38"/>
      <c r="P3" s="38"/>
      <c r="Q3" s="38"/>
    </row>
    <row r="4" spans="3:17">
      <c r="C4" s="57"/>
      <c r="D4" s="63"/>
      <c r="E4" s="63"/>
      <c r="F4" s="66"/>
      <c r="G4" s="57"/>
      <c r="H4" s="63"/>
      <c r="I4" s="63"/>
      <c r="J4" s="63"/>
      <c r="K4" s="63"/>
      <c r="L4" s="38"/>
      <c r="M4" s="38"/>
      <c r="N4" s="38"/>
      <c r="O4" s="38"/>
      <c r="P4" s="38"/>
      <c r="Q4" s="38"/>
    </row>
    <row r="5" s="56" customFormat="1" ht="54" customHeight="1" spans="1:17">
      <c r="A5" s="67" t="s">
        <v>10</v>
      </c>
      <c r="B5" s="67" t="s">
        <v>11</v>
      </c>
      <c r="C5" s="67" t="s">
        <v>12</v>
      </c>
      <c r="D5" s="67" t="s">
        <v>13</v>
      </c>
      <c r="E5" s="67" t="s">
        <v>14</v>
      </c>
      <c r="F5" s="68" t="s">
        <v>15</v>
      </c>
      <c r="G5" s="67" t="s">
        <v>16</v>
      </c>
      <c r="H5" s="67" t="s">
        <v>17</v>
      </c>
      <c r="I5" s="67" t="s">
        <v>18</v>
      </c>
      <c r="J5" s="67" t="s">
        <v>19</v>
      </c>
      <c r="K5" s="67" t="s">
        <v>20</v>
      </c>
      <c r="L5" s="67" t="s">
        <v>21</v>
      </c>
      <c r="M5" s="67" t="s">
        <v>22</v>
      </c>
      <c r="N5" s="67" t="s">
        <v>23</v>
      </c>
      <c r="O5" s="67" t="s">
        <v>24</v>
      </c>
      <c r="P5" s="67" t="s">
        <v>25</v>
      </c>
      <c r="Q5" s="67" t="s">
        <v>26</v>
      </c>
    </row>
    <row r="6" s="57" customFormat="1" ht="12.95" customHeight="1" spans="1:17">
      <c r="A6" s="69">
        <v>1</v>
      </c>
      <c r="B6" s="38" t="s">
        <v>27</v>
      </c>
      <c r="C6" s="38">
        <v>1360</v>
      </c>
      <c r="D6" s="70">
        <f t="shared" ref="D6:D69" si="0">G6/C6</f>
        <v>4186.02941176471</v>
      </c>
      <c r="E6" s="38" t="s">
        <v>28</v>
      </c>
      <c r="F6" s="71">
        <v>43738</v>
      </c>
      <c r="G6" s="70">
        <v>5693000</v>
      </c>
      <c r="H6" s="63"/>
      <c r="I6" s="63"/>
      <c r="J6" s="70">
        <v>610463</v>
      </c>
      <c r="K6" s="70">
        <v>1534640</v>
      </c>
      <c r="L6" s="70">
        <v>3255300</v>
      </c>
      <c r="M6" s="70">
        <v>1500000</v>
      </c>
      <c r="N6" s="70">
        <v>13523</v>
      </c>
      <c r="O6" s="70">
        <v>0</v>
      </c>
      <c r="P6" s="70">
        <f>SUM(K6:O6)</f>
        <v>6303463</v>
      </c>
      <c r="Q6" s="70">
        <f>G6+J6-P6</f>
        <v>0</v>
      </c>
    </row>
    <row r="7" s="57" customFormat="1" ht="12.95" customHeight="1" spans="1:17">
      <c r="A7" s="69">
        <v>2</v>
      </c>
      <c r="B7" s="38" t="s">
        <v>29</v>
      </c>
      <c r="C7" s="38">
        <v>1360</v>
      </c>
      <c r="D7" s="70">
        <f t="shared" si="0"/>
        <v>4236.02941176471</v>
      </c>
      <c r="E7" s="38" t="s">
        <v>30</v>
      </c>
      <c r="F7" s="71">
        <v>43829</v>
      </c>
      <c r="G7" s="70">
        <v>5761000</v>
      </c>
      <c r="H7" s="63"/>
      <c r="I7" s="63"/>
      <c r="J7" s="70">
        <v>340024</v>
      </c>
      <c r="K7" s="70">
        <v>1531000</v>
      </c>
      <c r="L7" s="70">
        <v>3147483</v>
      </c>
      <c r="M7" s="70">
        <v>1376000</v>
      </c>
      <c r="N7" s="70">
        <v>46541</v>
      </c>
      <c r="O7" s="70">
        <v>0</v>
      </c>
      <c r="P7" s="70">
        <f t="shared" ref="P7:P70" si="1">SUM(K7:O7)</f>
        <v>6101024</v>
      </c>
      <c r="Q7" s="70">
        <f t="shared" ref="Q7:Q70" si="2">G7+J7-P7</f>
        <v>0</v>
      </c>
    </row>
    <row r="8" s="57" customFormat="1" ht="12.95" customHeight="1" spans="1:17">
      <c r="A8" s="69">
        <v>3</v>
      </c>
      <c r="B8" s="38" t="s">
        <v>31</v>
      </c>
      <c r="C8" s="38">
        <v>1360</v>
      </c>
      <c r="D8" s="70">
        <f t="shared" si="0"/>
        <v>3985.29411764706</v>
      </c>
      <c r="E8" s="38" t="s">
        <v>32</v>
      </c>
      <c r="F8" s="71">
        <v>43717</v>
      </c>
      <c r="G8" s="70">
        <v>5420000</v>
      </c>
      <c r="H8" s="63"/>
      <c r="I8" s="63"/>
      <c r="J8" s="70">
        <v>301828</v>
      </c>
      <c r="K8" s="70">
        <v>1355000</v>
      </c>
      <c r="L8" s="70">
        <v>2250000</v>
      </c>
      <c r="M8" s="70">
        <v>2092000</v>
      </c>
      <c r="N8" s="70">
        <v>24828</v>
      </c>
      <c r="O8" s="70">
        <v>0</v>
      </c>
      <c r="P8" s="70">
        <f t="shared" si="1"/>
        <v>5721828</v>
      </c>
      <c r="Q8" s="70">
        <f t="shared" si="2"/>
        <v>0</v>
      </c>
    </row>
    <row r="9" s="57" customFormat="1" ht="12.95" customHeight="1" spans="1:17">
      <c r="A9" s="69">
        <v>4</v>
      </c>
      <c r="B9" s="38" t="s">
        <v>33</v>
      </c>
      <c r="C9" s="38">
        <v>1360</v>
      </c>
      <c r="D9" s="70">
        <f t="shared" si="0"/>
        <v>4085.29411764706</v>
      </c>
      <c r="E9" s="38" t="s">
        <v>34</v>
      </c>
      <c r="F9" s="71">
        <v>43716</v>
      </c>
      <c r="G9" s="70">
        <v>5556000</v>
      </c>
      <c r="H9" s="63"/>
      <c r="I9" s="63"/>
      <c r="J9" s="70">
        <v>567960</v>
      </c>
      <c r="K9" s="70">
        <v>1503890</v>
      </c>
      <c r="L9" s="70">
        <f>2679400</f>
        <v>2679400</v>
      </c>
      <c r="M9" s="70">
        <f>1300000+40670</f>
        <v>1340670</v>
      </c>
      <c r="N9" s="70">
        <v>600000</v>
      </c>
      <c r="O9" s="70">
        <v>0</v>
      </c>
      <c r="P9" s="70">
        <f t="shared" si="1"/>
        <v>6123960</v>
      </c>
      <c r="Q9" s="70">
        <f t="shared" si="2"/>
        <v>0</v>
      </c>
    </row>
    <row r="10" s="57" customFormat="1" ht="12.95" customHeight="1" spans="1:17">
      <c r="A10" s="69">
        <v>5</v>
      </c>
      <c r="B10" s="38" t="s">
        <v>35</v>
      </c>
      <c r="C10" s="38">
        <v>1360</v>
      </c>
      <c r="D10" s="70">
        <f t="shared" si="0"/>
        <v>3524.26470588235</v>
      </c>
      <c r="E10" s="38" t="s">
        <v>36</v>
      </c>
      <c r="F10" s="71">
        <v>43758</v>
      </c>
      <c r="G10" s="70">
        <v>4793000</v>
      </c>
      <c r="H10" s="63"/>
      <c r="I10" s="63"/>
      <c r="J10" s="70">
        <v>284116</v>
      </c>
      <c r="K10" s="70">
        <v>620000</v>
      </c>
      <c r="L10" s="70">
        <v>3090000</v>
      </c>
      <c r="M10" s="70">
        <v>1328650</v>
      </c>
      <c r="N10" s="70">
        <v>38466</v>
      </c>
      <c r="O10" s="70">
        <v>0</v>
      </c>
      <c r="P10" s="70">
        <f t="shared" si="1"/>
        <v>5077116</v>
      </c>
      <c r="Q10" s="70">
        <f t="shared" si="2"/>
        <v>0</v>
      </c>
    </row>
    <row r="11" s="57" customFormat="1" ht="12.95" customHeight="1" spans="1:17">
      <c r="A11" s="69">
        <v>6</v>
      </c>
      <c r="B11" s="38" t="s">
        <v>37</v>
      </c>
      <c r="C11" s="38">
        <v>1360</v>
      </c>
      <c r="D11" s="70">
        <f t="shared" si="0"/>
        <v>4085.29411764706</v>
      </c>
      <c r="E11" s="38" t="s">
        <v>38</v>
      </c>
      <c r="F11" s="71">
        <v>43714</v>
      </c>
      <c r="G11" s="70">
        <v>5556000</v>
      </c>
      <c r="H11" s="63"/>
      <c r="I11" s="63"/>
      <c r="J11" s="70">
        <v>308628</v>
      </c>
      <c r="K11" s="70">
        <v>1489000</v>
      </c>
      <c r="L11" s="70">
        <v>2148000</v>
      </c>
      <c r="M11" s="70">
        <v>859000</v>
      </c>
      <c r="N11" s="70">
        <v>1368628</v>
      </c>
      <c r="O11" s="70">
        <v>0</v>
      </c>
      <c r="P11" s="70">
        <f t="shared" si="1"/>
        <v>5864628</v>
      </c>
      <c r="Q11" s="70">
        <f t="shared" si="2"/>
        <v>0</v>
      </c>
    </row>
    <row r="12" s="57" customFormat="1" ht="12.95" customHeight="1" spans="1:17">
      <c r="A12" s="69">
        <v>7</v>
      </c>
      <c r="B12" s="38" t="s">
        <v>39</v>
      </c>
      <c r="C12" s="38">
        <v>1360</v>
      </c>
      <c r="D12" s="70">
        <f t="shared" si="0"/>
        <v>4186.76470588235</v>
      </c>
      <c r="E12" s="38" t="s">
        <v>40</v>
      </c>
      <c r="F12" s="71">
        <v>44294</v>
      </c>
      <c r="G12" s="70">
        <v>5694000</v>
      </c>
      <c r="H12" s="63"/>
      <c r="I12" s="63"/>
      <c r="J12" s="70">
        <v>284701</v>
      </c>
      <c r="K12" s="70">
        <v>0</v>
      </c>
      <c r="L12" s="70">
        <v>0</v>
      </c>
      <c r="M12" s="70">
        <v>5694000</v>
      </c>
      <c r="N12" s="70">
        <v>0</v>
      </c>
      <c r="O12" s="70">
        <v>0</v>
      </c>
      <c r="P12" s="70">
        <f t="shared" si="1"/>
        <v>5694000</v>
      </c>
      <c r="Q12" s="70">
        <f t="shared" si="2"/>
        <v>284701</v>
      </c>
    </row>
    <row r="13" s="57" customFormat="1" ht="12.95" customHeight="1" spans="1:17">
      <c r="A13" s="69">
        <v>8</v>
      </c>
      <c r="B13" s="38" t="s">
        <v>41</v>
      </c>
      <c r="C13" s="38">
        <v>1360</v>
      </c>
      <c r="D13" s="70">
        <f t="shared" si="0"/>
        <v>4613.23529411765</v>
      </c>
      <c r="E13" s="38" t="s">
        <v>42</v>
      </c>
      <c r="F13" s="71">
        <v>44310</v>
      </c>
      <c r="G13" s="70">
        <v>6274000</v>
      </c>
      <c r="H13" s="63"/>
      <c r="I13" s="63"/>
      <c r="J13" s="70">
        <v>313700</v>
      </c>
      <c r="K13" s="70">
        <v>0</v>
      </c>
      <c r="L13" s="70">
        <v>0</v>
      </c>
      <c r="M13" s="70">
        <v>564740</v>
      </c>
      <c r="N13" s="70">
        <v>6022960</v>
      </c>
      <c r="O13" s="70">
        <v>0</v>
      </c>
      <c r="P13" s="70">
        <f t="shared" si="1"/>
        <v>6587700</v>
      </c>
      <c r="Q13" s="70">
        <f t="shared" si="2"/>
        <v>0</v>
      </c>
    </row>
    <row r="14" s="57" customFormat="1" ht="12.95" customHeight="1" spans="1:17">
      <c r="A14" s="69">
        <v>9</v>
      </c>
      <c r="B14" s="38" t="s">
        <v>43</v>
      </c>
      <c r="C14" s="38">
        <v>1360</v>
      </c>
      <c r="D14" s="70">
        <f t="shared" si="0"/>
        <v>4186.76470588235</v>
      </c>
      <c r="E14" s="38" t="s">
        <v>44</v>
      </c>
      <c r="F14" s="71">
        <v>44294</v>
      </c>
      <c r="G14" s="70">
        <v>5694000</v>
      </c>
      <c r="H14" s="63"/>
      <c r="I14" s="63"/>
      <c r="J14" s="70">
        <v>284700</v>
      </c>
      <c r="K14" s="70">
        <v>0</v>
      </c>
      <c r="L14" s="70">
        <v>0</v>
      </c>
      <c r="M14" s="70">
        <v>5694094.4</v>
      </c>
      <c r="N14" s="70">
        <v>0</v>
      </c>
      <c r="O14" s="70">
        <v>0</v>
      </c>
      <c r="P14" s="70">
        <f t="shared" si="1"/>
        <v>5694094.4</v>
      </c>
      <c r="Q14" s="70">
        <f t="shared" si="2"/>
        <v>284605.6</v>
      </c>
    </row>
    <row r="15" s="57" customFormat="1" ht="12.95" customHeight="1" spans="1:17">
      <c r="A15" s="69">
        <v>10</v>
      </c>
      <c r="B15" s="38" t="s">
        <v>45</v>
      </c>
      <c r="C15" s="38">
        <v>1360</v>
      </c>
      <c r="D15" s="70">
        <f t="shared" si="0"/>
        <v>4613.23529411765</v>
      </c>
      <c r="E15" s="38" t="s">
        <v>42</v>
      </c>
      <c r="F15" s="71">
        <v>44310</v>
      </c>
      <c r="G15" s="70">
        <v>6274000</v>
      </c>
      <c r="H15" s="63"/>
      <c r="I15" s="63"/>
      <c r="J15" s="70">
        <v>313700</v>
      </c>
      <c r="K15" s="70">
        <v>0</v>
      </c>
      <c r="L15" s="70">
        <v>0</v>
      </c>
      <c r="M15" s="70">
        <v>564740</v>
      </c>
      <c r="N15" s="70">
        <v>6022960</v>
      </c>
      <c r="O15" s="70">
        <v>0</v>
      </c>
      <c r="P15" s="70">
        <f t="shared" si="1"/>
        <v>6587700</v>
      </c>
      <c r="Q15" s="70">
        <f t="shared" si="2"/>
        <v>0</v>
      </c>
    </row>
    <row r="16" s="57" customFormat="1" ht="12.95" customHeight="1" spans="1:17">
      <c r="A16" s="69">
        <v>11</v>
      </c>
      <c r="B16" s="38" t="s">
        <v>46</v>
      </c>
      <c r="C16" s="38">
        <v>1360</v>
      </c>
      <c r="D16" s="70">
        <f t="shared" si="0"/>
        <v>4884.55882352941</v>
      </c>
      <c r="E16" s="38" t="s">
        <v>47</v>
      </c>
      <c r="F16" s="71">
        <v>44204</v>
      </c>
      <c r="G16" s="70">
        <v>6643000</v>
      </c>
      <c r="H16" s="63"/>
      <c r="I16" s="63"/>
      <c r="J16" s="70">
        <v>410721</v>
      </c>
      <c r="K16" s="70">
        <v>0</v>
      </c>
      <c r="L16" s="70">
        <v>1221000</v>
      </c>
      <c r="M16" s="70">
        <v>5222000</v>
      </c>
      <c r="N16" s="70">
        <v>159373</v>
      </c>
      <c r="O16" s="70">
        <v>451348</v>
      </c>
      <c r="P16" s="70">
        <f t="shared" si="1"/>
        <v>7053721</v>
      </c>
      <c r="Q16" s="70">
        <f t="shared" si="2"/>
        <v>0</v>
      </c>
    </row>
    <row r="17" s="57" customFormat="1" ht="12.95" customHeight="1" spans="1:17">
      <c r="A17" s="69">
        <v>12</v>
      </c>
      <c r="B17" s="38" t="s">
        <v>48</v>
      </c>
      <c r="C17" s="38">
        <v>1360</v>
      </c>
      <c r="D17" s="70">
        <f t="shared" si="0"/>
        <v>3562.5</v>
      </c>
      <c r="E17" s="38" t="s">
        <v>49</v>
      </c>
      <c r="F17" s="71">
        <v>43754</v>
      </c>
      <c r="G17" s="70">
        <v>4845000</v>
      </c>
      <c r="H17" s="63"/>
      <c r="I17" s="63"/>
      <c r="J17" s="70">
        <v>276564</v>
      </c>
      <c r="K17" s="70">
        <v>671000</v>
      </c>
      <c r="L17" s="70">
        <v>2940000</v>
      </c>
      <c r="M17" s="70">
        <v>1482250</v>
      </c>
      <c r="N17" s="70">
        <v>21874</v>
      </c>
      <c r="O17" s="70">
        <v>0</v>
      </c>
      <c r="P17" s="70">
        <f t="shared" si="1"/>
        <v>5115124</v>
      </c>
      <c r="Q17" s="70">
        <f t="shared" si="2"/>
        <v>6440</v>
      </c>
    </row>
    <row r="18" s="57" customFormat="1" ht="12.95" customHeight="1" spans="1:17">
      <c r="A18" s="69">
        <v>13</v>
      </c>
      <c r="B18" s="38" t="s">
        <v>50</v>
      </c>
      <c r="C18" s="38">
        <v>1360</v>
      </c>
      <c r="D18" s="70">
        <f t="shared" si="0"/>
        <v>4085.29411764706</v>
      </c>
      <c r="E18" s="38" t="s">
        <v>51</v>
      </c>
      <c r="F18" s="71">
        <v>43723</v>
      </c>
      <c r="G18" s="70">
        <v>5556000</v>
      </c>
      <c r="H18" s="63"/>
      <c r="I18" s="63"/>
      <c r="J18" s="70">
        <v>401800</v>
      </c>
      <c r="K18" s="70">
        <v>1489000</v>
      </c>
      <c r="L18" s="70">
        <v>1719000</v>
      </c>
      <c r="M18" s="70">
        <v>2631800</v>
      </c>
      <c r="N18" s="70">
        <v>118000</v>
      </c>
      <c r="O18" s="70">
        <v>0</v>
      </c>
      <c r="P18" s="70">
        <f t="shared" si="1"/>
        <v>5957800</v>
      </c>
      <c r="Q18" s="70">
        <f t="shared" si="2"/>
        <v>0</v>
      </c>
    </row>
    <row r="19" s="57" customFormat="1" ht="12.95" customHeight="1" spans="1:17">
      <c r="A19" s="69">
        <v>14</v>
      </c>
      <c r="B19" s="38" t="s">
        <v>52</v>
      </c>
      <c r="C19" s="38">
        <v>1360</v>
      </c>
      <c r="D19" s="70">
        <f t="shared" si="0"/>
        <v>4085.29411764706</v>
      </c>
      <c r="E19" s="38" t="s">
        <v>53</v>
      </c>
      <c r="F19" s="71">
        <v>43722</v>
      </c>
      <c r="G19" s="70">
        <v>5556000</v>
      </c>
      <c r="H19" s="63"/>
      <c r="I19" s="63"/>
      <c r="J19" s="70">
        <v>511727</v>
      </c>
      <c r="K19" s="70">
        <v>1503890</v>
      </c>
      <c r="L19" s="70">
        <v>1864510</v>
      </c>
      <c r="M19" s="70">
        <v>2348450</v>
      </c>
      <c r="N19" s="70">
        <v>350877</v>
      </c>
      <c r="O19" s="70">
        <v>0</v>
      </c>
      <c r="P19" s="70">
        <f t="shared" si="1"/>
        <v>6067727</v>
      </c>
      <c r="Q19" s="70">
        <f t="shared" si="2"/>
        <v>0</v>
      </c>
    </row>
    <row r="20" s="57" customFormat="1" ht="12.95" customHeight="1" spans="1:17">
      <c r="A20" s="69">
        <v>15</v>
      </c>
      <c r="B20" s="38" t="s">
        <v>54</v>
      </c>
      <c r="C20" s="38">
        <v>1360</v>
      </c>
      <c r="D20" s="70">
        <f t="shared" si="0"/>
        <v>3985.29411764706</v>
      </c>
      <c r="E20" s="38" t="s">
        <v>55</v>
      </c>
      <c r="F20" s="71">
        <v>43714</v>
      </c>
      <c r="G20" s="70">
        <v>5420000</v>
      </c>
      <c r="H20" s="63"/>
      <c r="I20" s="63"/>
      <c r="J20" s="70">
        <v>299452</v>
      </c>
      <c r="K20" s="70">
        <v>1456000</v>
      </c>
      <c r="L20" s="70">
        <v>2927999</v>
      </c>
      <c r="M20" s="70">
        <f>1166641+10360</f>
        <v>1177001</v>
      </c>
      <c r="N20" s="70">
        <v>158452</v>
      </c>
      <c r="O20" s="70">
        <v>0</v>
      </c>
      <c r="P20" s="70">
        <f t="shared" si="1"/>
        <v>5719452</v>
      </c>
      <c r="Q20" s="70">
        <f t="shared" si="2"/>
        <v>0</v>
      </c>
    </row>
    <row r="21" s="57" customFormat="1" ht="12.95" customHeight="1" spans="1:17">
      <c r="A21" s="69">
        <v>16</v>
      </c>
      <c r="B21" s="38" t="s">
        <v>56</v>
      </c>
      <c r="C21" s="38">
        <v>1360</v>
      </c>
      <c r="D21" s="70">
        <f t="shared" si="0"/>
        <v>3585.29411764706</v>
      </c>
      <c r="E21" s="38" t="s">
        <v>57</v>
      </c>
      <c r="F21" s="71">
        <v>44450</v>
      </c>
      <c r="G21" s="70">
        <v>4876000</v>
      </c>
      <c r="H21" s="63"/>
      <c r="I21" s="63"/>
      <c r="J21" s="70">
        <v>274628</v>
      </c>
      <c r="K21" s="70">
        <v>0</v>
      </c>
      <c r="L21" s="70">
        <v>0</v>
      </c>
      <c r="M21" s="70">
        <v>4585000</v>
      </c>
      <c r="N21" s="70">
        <v>565628</v>
      </c>
      <c r="O21" s="70">
        <v>0</v>
      </c>
      <c r="P21" s="70">
        <f t="shared" si="1"/>
        <v>5150628</v>
      </c>
      <c r="Q21" s="70">
        <f t="shared" si="2"/>
        <v>0</v>
      </c>
    </row>
    <row r="22" s="57" customFormat="1" ht="12.95" customHeight="1" spans="1:17">
      <c r="A22" s="69">
        <v>17</v>
      </c>
      <c r="B22" s="38" t="s">
        <v>58</v>
      </c>
      <c r="C22" s="38">
        <v>1360</v>
      </c>
      <c r="D22" s="70">
        <f t="shared" si="0"/>
        <v>3885.29411764706</v>
      </c>
      <c r="E22" s="38" t="s">
        <v>59</v>
      </c>
      <c r="F22" s="71">
        <v>43718</v>
      </c>
      <c r="G22" s="70">
        <v>5284000</v>
      </c>
      <c r="H22" s="63"/>
      <c r="I22" s="63"/>
      <c r="J22" s="70">
        <f>466500+25712</f>
        <v>492212</v>
      </c>
      <c r="K22" s="70">
        <v>1435000</v>
      </c>
      <c r="L22" s="70">
        <v>1627000</v>
      </c>
      <c r="M22" s="70">
        <v>2688500</v>
      </c>
      <c r="N22" s="70">
        <v>0</v>
      </c>
      <c r="O22" s="70">
        <v>25712</v>
      </c>
      <c r="P22" s="70">
        <f t="shared" si="1"/>
        <v>5776212</v>
      </c>
      <c r="Q22" s="70">
        <f t="shared" si="2"/>
        <v>0</v>
      </c>
    </row>
    <row r="23" s="57" customFormat="1" ht="12.95" customHeight="1" spans="1:17">
      <c r="A23" s="69">
        <v>18</v>
      </c>
      <c r="B23" s="38" t="s">
        <v>60</v>
      </c>
      <c r="C23" s="38">
        <v>1360</v>
      </c>
      <c r="D23" s="70">
        <f t="shared" si="0"/>
        <v>3885.29411764706</v>
      </c>
      <c r="E23" s="38" t="s">
        <v>61</v>
      </c>
      <c r="F23" s="71">
        <v>43715</v>
      </c>
      <c r="G23" s="70">
        <v>5284000</v>
      </c>
      <c r="H23" s="63"/>
      <c r="I23" s="63"/>
      <c r="J23" s="70">
        <v>883451</v>
      </c>
      <c r="K23" s="70">
        <v>1325000</v>
      </c>
      <c r="L23" s="70">
        <v>0</v>
      </c>
      <c r="M23" s="70">
        <v>4713804</v>
      </c>
      <c r="N23" s="70">
        <v>0</v>
      </c>
      <c r="O23" s="70">
        <v>0</v>
      </c>
      <c r="P23" s="70">
        <f t="shared" si="1"/>
        <v>6038804</v>
      </c>
      <c r="Q23" s="70">
        <f t="shared" si="2"/>
        <v>128647</v>
      </c>
    </row>
    <row r="24" s="57" customFormat="1" ht="12.95" customHeight="1" spans="1:17">
      <c r="A24" s="69">
        <v>19</v>
      </c>
      <c r="B24" s="38" t="s">
        <v>62</v>
      </c>
      <c r="C24" s="38">
        <v>1360</v>
      </c>
      <c r="D24" s="70">
        <f t="shared" si="0"/>
        <v>4185.29411764706</v>
      </c>
      <c r="E24" s="38" t="s">
        <v>63</v>
      </c>
      <c r="F24" s="71">
        <v>43723</v>
      </c>
      <c r="G24" s="70">
        <v>5692000</v>
      </c>
      <c r="H24" s="63"/>
      <c r="I24" s="63"/>
      <c r="J24" s="70">
        <v>350894</v>
      </c>
      <c r="K24" s="70">
        <v>1520000</v>
      </c>
      <c r="L24" s="70">
        <v>1793438</v>
      </c>
      <c r="M24" s="70">
        <f>2207000+22070</f>
        <v>2229070</v>
      </c>
      <c r="N24" s="70">
        <v>500386</v>
      </c>
      <c r="O24" s="70">
        <v>0</v>
      </c>
      <c r="P24" s="70">
        <f t="shared" si="1"/>
        <v>6042894</v>
      </c>
      <c r="Q24" s="70">
        <f t="shared" si="2"/>
        <v>0</v>
      </c>
    </row>
    <row r="25" s="57" customFormat="1" ht="12.95" customHeight="1" spans="1:17">
      <c r="A25" s="69">
        <v>20</v>
      </c>
      <c r="B25" s="38" t="s">
        <v>64</v>
      </c>
      <c r="C25" s="38">
        <v>1360</v>
      </c>
      <c r="D25" s="70">
        <f t="shared" si="0"/>
        <v>3885.29411764706</v>
      </c>
      <c r="E25" s="38" t="s">
        <v>65</v>
      </c>
      <c r="F25" s="71">
        <v>43716</v>
      </c>
      <c r="G25" s="70">
        <v>5284000</v>
      </c>
      <c r="H25" s="63"/>
      <c r="I25" s="63"/>
      <c r="J25" s="70">
        <v>337647</v>
      </c>
      <c r="K25" s="70">
        <v>1441270</v>
      </c>
      <c r="L25" s="70">
        <v>1627000</v>
      </c>
      <c r="M25" s="70">
        <v>1220000</v>
      </c>
      <c r="N25" s="70">
        <v>1469377</v>
      </c>
      <c r="O25" s="70">
        <v>0</v>
      </c>
      <c r="P25" s="70">
        <f t="shared" si="1"/>
        <v>5757647</v>
      </c>
      <c r="Q25" s="70">
        <f t="shared" si="2"/>
        <v>-136000</v>
      </c>
    </row>
    <row r="26" s="57" customFormat="1" ht="12.95" customHeight="1" spans="1:17">
      <c r="A26" s="69">
        <v>21</v>
      </c>
      <c r="B26" s="38" t="s">
        <v>66</v>
      </c>
      <c r="C26" s="38">
        <v>1360</v>
      </c>
      <c r="D26" s="70">
        <f t="shared" si="0"/>
        <v>4035.29411764706</v>
      </c>
      <c r="E26" s="38" t="s">
        <v>67</v>
      </c>
      <c r="F26" s="71">
        <v>43738</v>
      </c>
      <c r="G26" s="70">
        <v>5488000</v>
      </c>
      <c r="H26" s="63"/>
      <c r="I26" s="63"/>
      <c r="J26" s="70">
        <v>429114</v>
      </c>
      <c r="K26" s="70">
        <v>1472000</v>
      </c>
      <c r="L26" s="70">
        <v>1696000</v>
      </c>
      <c r="M26" s="70">
        <f>2539520+54880</f>
        <v>2594400</v>
      </c>
      <c r="N26" s="70">
        <v>154714</v>
      </c>
      <c r="O26" s="70">
        <v>0</v>
      </c>
      <c r="P26" s="70">
        <f t="shared" si="1"/>
        <v>5917114</v>
      </c>
      <c r="Q26" s="70">
        <f t="shared" si="2"/>
        <v>0</v>
      </c>
    </row>
    <row r="27" s="57" customFormat="1" ht="12.95" customHeight="1" spans="1:17">
      <c r="A27" s="69">
        <v>22</v>
      </c>
      <c r="B27" s="38" t="s">
        <v>68</v>
      </c>
      <c r="C27" s="38">
        <v>1360</v>
      </c>
      <c r="D27" s="70">
        <f t="shared" si="0"/>
        <v>4236.02941176471</v>
      </c>
      <c r="E27" s="38" t="s">
        <v>69</v>
      </c>
      <c r="F27" s="71">
        <v>43772</v>
      </c>
      <c r="G27" s="70">
        <v>5761000</v>
      </c>
      <c r="H27" s="63"/>
      <c r="I27" s="63"/>
      <c r="J27" s="70">
        <v>318213</v>
      </c>
      <c r="K27" s="70">
        <v>875116</v>
      </c>
      <c r="L27" s="70">
        <v>2424000</v>
      </c>
      <c r="M27" s="70">
        <v>1921000</v>
      </c>
      <c r="N27" s="70">
        <v>859097</v>
      </c>
      <c r="O27" s="70">
        <v>0</v>
      </c>
      <c r="P27" s="70">
        <f t="shared" si="1"/>
        <v>6079213</v>
      </c>
      <c r="Q27" s="70">
        <f t="shared" si="2"/>
        <v>0</v>
      </c>
    </row>
    <row r="28" s="57" customFormat="1" ht="12.95" customHeight="1" spans="1:17">
      <c r="A28" s="69">
        <v>23</v>
      </c>
      <c r="B28" s="38" t="s">
        <v>70</v>
      </c>
      <c r="C28" s="38">
        <v>1360</v>
      </c>
      <c r="D28" s="70">
        <f t="shared" si="0"/>
        <v>4284.55882352941</v>
      </c>
      <c r="E28" s="38" t="s">
        <v>71</v>
      </c>
      <c r="F28" s="71">
        <v>43783</v>
      </c>
      <c r="G28" s="70">
        <v>5827000</v>
      </c>
      <c r="H28" s="63"/>
      <c r="I28" s="63"/>
      <c r="J28" s="70">
        <v>322178</v>
      </c>
      <c r="K28" s="70">
        <v>1552000</v>
      </c>
      <c r="L28" s="70">
        <v>1811000</v>
      </c>
      <c r="M28" s="70">
        <v>1636000</v>
      </c>
      <c r="N28" s="70">
        <v>1150178</v>
      </c>
      <c r="O28" s="70">
        <v>0</v>
      </c>
      <c r="P28" s="70">
        <f t="shared" si="1"/>
        <v>6149178</v>
      </c>
      <c r="Q28" s="70">
        <f t="shared" si="2"/>
        <v>0</v>
      </c>
    </row>
    <row r="29" s="57" customFormat="1" ht="12.95" customHeight="1" spans="1:17">
      <c r="A29" s="69">
        <v>24</v>
      </c>
      <c r="B29" s="38" t="s">
        <v>72</v>
      </c>
      <c r="C29" s="38">
        <v>1360</v>
      </c>
      <c r="D29" s="70">
        <f t="shared" si="0"/>
        <v>4085.29411764706</v>
      </c>
      <c r="E29" s="38" t="s">
        <v>73</v>
      </c>
      <c r="F29" s="71">
        <v>43716</v>
      </c>
      <c r="G29" s="70">
        <v>5556000</v>
      </c>
      <c r="H29" s="63"/>
      <c r="I29" s="63"/>
      <c r="J29" s="70">
        <v>304900</v>
      </c>
      <c r="K29" s="70">
        <v>1489000</v>
      </c>
      <c r="L29" s="70">
        <v>1719000</v>
      </c>
      <c r="M29" s="70">
        <v>1000000</v>
      </c>
      <c r="N29" s="70">
        <v>1656628</v>
      </c>
      <c r="O29" s="70">
        <v>0</v>
      </c>
      <c r="P29" s="70">
        <f t="shared" si="1"/>
        <v>5864628</v>
      </c>
      <c r="Q29" s="70">
        <f t="shared" si="2"/>
        <v>-3728</v>
      </c>
    </row>
    <row r="30" s="57" customFormat="1" ht="12.95" customHeight="1" spans="1:17">
      <c r="A30" s="69">
        <v>25</v>
      </c>
      <c r="B30" s="38" t="s">
        <v>74</v>
      </c>
      <c r="C30" s="38">
        <v>1360</v>
      </c>
      <c r="D30" s="70">
        <f t="shared" si="0"/>
        <v>3562.5</v>
      </c>
      <c r="E30" s="38" t="s">
        <v>75</v>
      </c>
      <c r="F30" s="71">
        <v>43754</v>
      </c>
      <c r="G30" s="70">
        <v>4845000</v>
      </c>
      <c r="H30" s="63"/>
      <c r="I30" s="63"/>
      <c r="J30" s="70">
        <v>271884</v>
      </c>
      <c r="K30" s="70">
        <v>671000</v>
      </c>
      <c r="L30" s="70">
        <v>1766000</v>
      </c>
      <c r="M30" s="70">
        <v>2656250</v>
      </c>
      <c r="N30" s="70">
        <v>23634</v>
      </c>
      <c r="O30" s="70">
        <v>0</v>
      </c>
      <c r="P30" s="70">
        <f t="shared" si="1"/>
        <v>5116884</v>
      </c>
      <c r="Q30" s="70">
        <f t="shared" si="2"/>
        <v>0</v>
      </c>
    </row>
    <row r="31" s="57" customFormat="1" ht="12.95" customHeight="1" spans="1:17">
      <c r="A31" s="69">
        <v>26</v>
      </c>
      <c r="B31" s="38" t="s">
        <v>76</v>
      </c>
      <c r="C31" s="38">
        <v>1360</v>
      </c>
      <c r="D31" s="70">
        <f t="shared" si="0"/>
        <v>3985.29411764706</v>
      </c>
      <c r="E31" s="38" t="s">
        <v>77</v>
      </c>
      <c r="F31" s="71">
        <v>43716</v>
      </c>
      <c r="G31" s="70">
        <v>5420000</v>
      </c>
      <c r="H31" s="63"/>
      <c r="I31" s="63"/>
      <c r="J31" s="70">
        <v>168109</v>
      </c>
      <c r="K31" s="70">
        <v>1470560</v>
      </c>
      <c r="L31" s="70">
        <v>1658441</v>
      </c>
      <c r="M31" s="70">
        <f>2403090+12550+10360</f>
        <v>2426000</v>
      </c>
      <c r="N31" s="70">
        <v>33108</v>
      </c>
      <c r="O31" s="70">
        <v>0</v>
      </c>
      <c r="P31" s="70">
        <f t="shared" si="1"/>
        <v>5588109</v>
      </c>
      <c r="Q31" s="70">
        <f t="shared" si="2"/>
        <v>0</v>
      </c>
    </row>
    <row r="32" s="57" customFormat="1" ht="12.95" customHeight="1" spans="1:17">
      <c r="A32" s="69">
        <v>27</v>
      </c>
      <c r="B32" s="38" t="s">
        <v>78</v>
      </c>
      <c r="C32" s="38">
        <v>1360</v>
      </c>
      <c r="D32" s="70">
        <f t="shared" si="0"/>
        <v>4400</v>
      </c>
      <c r="E32" s="38" t="s">
        <v>79</v>
      </c>
      <c r="F32" s="71">
        <v>44417</v>
      </c>
      <c r="G32" s="70">
        <v>5984000</v>
      </c>
      <c r="H32" s="63"/>
      <c r="I32" s="63"/>
      <c r="J32" s="70">
        <v>305200</v>
      </c>
      <c r="K32" s="70">
        <v>0</v>
      </c>
      <c r="L32" s="70">
        <v>0</v>
      </c>
      <c r="M32" s="70">
        <v>4378000</v>
      </c>
      <c r="N32" s="70">
        <v>1911200</v>
      </c>
      <c r="O32" s="70">
        <v>0</v>
      </c>
      <c r="P32" s="70">
        <f t="shared" si="1"/>
        <v>6289200</v>
      </c>
      <c r="Q32" s="70">
        <f t="shared" si="2"/>
        <v>0</v>
      </c>
    </row>
    <row r="33" s="57" customFormat="1" ht="12.95" customHeight="1" spans="1:17">
      <c r="A33" s="69">
        <v>28</v>
      </c>
      <c r="B33" s="38" t="s">
        <v>80</v>
      </c>
      <c r="C33" s="38">
        <v>1360</v>
      </c>
      <c r="D33" s="70">
        <f t="shared" si="0"/>
        <v>4236.02941176471</v>
      </c>
      <c r="E33" s="38" t="s">
        <v>81</v>
      </c>
      <c r="F33" s="71">
        <v>43776</v>
      </c>
      <c r="G33" s="70">
        <v>5761000</v>
      </c>
      <c r="H33" s="63"/>
      <c r="I33" s="63"/>
      <c r="J33" s="70">
        <v>355484</v>
      </c>
      <c r="K33" s="70">
        <v>1064000</v>
      </c>
      <c r="L33" s="70">
        <v>2235000</v>
      </c>
      <c r="M33" s="70">
        <v>1341000</v>
      </c>
      <c r="N33" s="70">
        <v>1476484</v>
      </c>
      <c r="O33" s="70">
        <v>0</v>
      </c>
      <c r="P33" s="70">
        <f t="shared" si="1"/>
        <v>6116484</v>
      </c>
      <c r="Q33" s="70">
        <f t="shared" si="2"/>
        <v>0</v>
      </c>
    </row>
    <row r="34" s="57" customFormat="1" ht="12.95" customHeight="1" spans="1:17">
      <c r="A34" s="69">
        <v>29</v>
      </c>
      <c r="B34" s="38" t="s">
        <v>82</v>
      </c>
      <c r="C34" s="38">
        <v>1360</v>
      </c>
      <c r="D34" s="70">
        <f t="shared" si="0"/>
        <v>3885.29411764706</v>
      </c>
      <c r="E34" s="38" t="s">
        <v>83</v>
      </c>
      <c r="F34" s="71">
        <v>43715</v>
      </c>
      <c r="G34" s="70">
        <v>5284000</v>
      </c>
      <c r="H34" s="63"/>
      <c r="I34" s="63"/>
      <c r="J34" s="70">
        <v>320764</v>
      </c>
      <c r="K34" s="70">
        <v>1427000</v>
      </c>
      <c r="L34" s="70">
        <v>1627000</v>
      </c>
      <c r="M34" s="70">
        <v>1220000</v>
      </c>
      <c r="N34" s="70">
        <v>1268200</v>
      </c>
      <c r="O34" s="70">
        <v>62564</v>
      </c>
      <c r="P34" s="70">
        <f t="shared" si="1"/>
        <v>5604764</v>
      </c>
      <c r="Q34" s="70">
        <f t="shared" si="2"/>
        <v>0</v>
      </c>
    </row>
    <row r="35" s="57" customFormat="1" ht="12.95" customHeight="1" spans="1:17">
      <c r="A35" s="69">
        <v>30</v>
      </c>
      <c r="B35" s="38" t="s">
        <v>84</v>
      </c>
      <c r="C35" s="38">
        <v>1660</v>
      </c>
      <c r="D35" s="70">
        <f t="shared" si="0"/>
        <v>4215.06024096385</v>
      </c>
      <c r="E35" s="38" t="s">
        <v>85</v>
      </c>
      <c r="F35" s="71">
        <v>43885</v>
      </c>
      <c r="G35" s="70">
        <v>6997000</v>
      </c>
      <c r="H35" s="63"/>
      <c r="I35" s="63"/>
      <c r="J35" s="70">
        <v>911063</v>
      </c>
      <c r="K35" s="70">
        <v>225000</v>
      </c>
      <c r="L35" s="70">
        <v>5142000</v>
      </c>
      <c r="M35" s="70">
        <v>0</v>
      </c>
      <c r="N35" s="70">
        <v>2010000</v>
      </c>
      <c r="O35" s="70">
        <v>500000</v>
      </c>
      <c r="P35" s="70">
        <f t="shared" si="1"/>
        <v>7877000</v>
      </c>
      <c r="Q35" s="70">
        <f t="shared" si="2"/>
        <v>31063</v>
      </c>
    </row>
    <row r="36" s="57" customFormat="1" ht="12.95" customHeight="1" spans="1:17">
      <c r="A36" s="69">
        <v>31</v>
      </c>
      <c r="B36" s="38" t="s">
        <v>86</v>
      </c>
      <c r="C36" s="38">
        <v>1660</v>
      </c>
      <c r="D36" s="70">
        <f t="shared" si="0"/>
        <v>4616.26506024096</v>
      </c>
      <c r="E36" s="38" t="s">
        <v>87</v>
      </c>
      <c r="F36" s="71">
        <v>44193</v>
      </c>
      <c r="G36" s="70">
        <v>7663000</v>
      </c>
      <c r="H36" s="63"/>
      <c r="I36" s="63"/>
      <c r="J36" s="70">
        <v>491145</v>
      </c>
      <c r="K36" s="70">
        <v>0</v>
      </c>
      <c r="L36" s="70">
        <v>6425000</v>
      </c>
      <c r="M36" s="70">
        <v>1627150</v>
      </c>
      <c r="N36" s="70">
        <v>101995</v>
      </c>
      <c r="O36" s="70">
        <v>0</v>
      </c>
      <c r="P36" s="70">
        <f t="shared" si="1"/>
        <v>8154145</v>
      </c>
      <c r="Q36" s="70">
        <f t="shared" si="2"/>
        <v>0</v>
      </c>
    </row>
    <row r="37" s="57" customFormat="1" ht="12.95" customHeight="1" spans="1:17">
      <c r="A37" s="69">
        <v>32</v>
      </c>
      <c r="B37" s="38" t="s">
        <v>88</v>
      </c>
      <c r="C37" s="38">
        <v>1660</v>
      </c>
      <c r="D37" s="70">
        <f t="shared" si="0"/>
        <v>4246.98795180723</v>
      </c>
      <c r="E37" s="38" t="s">
        <v>89</v>
      </c>
      <c r="F37" s="71">
        <v>43770</v>
      </c>
      <c r="G37" s="70">
        <v>7050000</v>
      </c>
      <c r="H37" s="63"/>
      <c r="I37" s="63"/>
      <c r="J37" s="70">
        <v>357928</v>
      </c>
      <c r="K37" s="70">
        <v>1282000</v>
      </c>
      <c r="L37" s="70">
        <v>4740800</v>
      </c>
      <c r="M37" s="70">
        <v>0</v>
      </c>
      <c r="N37" s="70">
        <v>1224200</v>
      </c>
      <c r="O37" s="70">
        <v>0</v>
      </c>
      <c r="P37" s="70">
        <f t="shared" si="1"/>
        <v>7247000</v>
      </c>
      <c r="Q37" s="70">
        <f t="shared" si="2"/>
        <v>160928</v>
      </c>
    </row>
    <row r="38" s="57" customFormat="1" ht="12.95" customHeight="1" spans="1:17">
      <c r="A38" s="69">
        <v>33</v>
      </c>
      <c r="B38" s="38" t="s">
        <v>90</v>
      </c>
      <c r="C38" s="38">
        <v>1660</v>
      </c>
      <c r="D38" s="70">
        <f t="shared" si="0"/>
        <v>4216.26506024096</v>
      </c>
      <c r="E38" s="38" t="s">
        <v>91</v>
      </c>
      <c r="F38" s="71">
        <v>43768</v>
      </c>
      <c r="G38" s="70">
        <v>6999000</v>
      </c>
      <c r="H38" s="63"/>
      <c r="I38" s="63"/>
      <c r="J38" s="70">
        <v>391517</v>
      </c>
      <c r="K38" s="70">
        <v>1499000</v>
      </c>
      <c r="L38" s="70">
        <v>4396850</v>
      </c>
      <c r="M38" s="70">
        <v>0</v>
      </c>
      <c r="N38" s="70">
        <v>1317928</v>
      </c>
      <c r="O38" s="70">
        <f>176739</f>
        <v>176739</v>
      </c>
      <c r="P38" s="70">
        <f t="shared" si="1"/>
        <v>7390517</v>
      </c>
      <c r="Q38" s="70">
        <f t="shared" si="2"/>
        <v>0</v>
      </c>
    </row>
    <row r="39" s="57" customFormat="1" ht="12.95" customHeight="1" spans="1:17">
      <c r="A39" s="69">
        <v>34</v>
      </c>
      <c r="B39" s="38" t="s">
        <v>92</v>
      </c>
      <c r="C39" s="38">
        <v>1660</v>
      </c>
      <c r="D39" s="70">
        <f t="shared" si="0"/>
        <v>4015.06024096386</v>
      </c>
      <c r="E39" s="38" t="s">
        <v>93</v>
      </c>
      <c r="F39" s="71">
        <v>43714</v>
      </c>
      <c r="G39" s="70">
        <v>6665000</v>
      </c>
      <c r="H39" s="63"/>
      <c r="I39" s="63"/>
      <c r="J39" s="70">
        <v>419510</v>
      </c>
      <c r="K39" s="70">
        <v>3845001</v>
      </c>
      <c r="L39" s="70">
        <v>2252000</v>
      </c>
      <c r="M39" s="70">
        <v>0</v>
      </c>
      <c r="N39" s="70">
        <v>987509</v>
      </c>
      <c r="O39" s="70">
        <v>0</v>
      </c>
      <c r="P39" s="70">
        <f t="shared" si="1"/>
        <v>7084510</v>
      </c>
      <c r="Q39" s="70">
        <f t="shared" si="2"/>
        <v>0</v>
      </c>
    </row>
    <row r="40" s="57" customFormat="1" ht="12.95" customHeight="1" spans="1:17">
      <c r="A40" s="69">
        <v>35</v>
      </c>
      <c r="B40" s="38" t="s">
        <v>94</v>
      </c>
      <c r="C40" s="38">
        <v>1660</v>
      </c>
      <c r="D40" s="70">
        <f t="shared" si="0"/>
        <v>4116.26506024096</v>
      </c>
      <c r="E40" s="38" t="s">
        <v>95</v>
      </c>
      <c r="F40" s="71">
        <v>43929</v>
      </c>
      <c r="G40" s="70">
        <v>6833000</v>
      </c>
      <c r="H40" s="63"/>
      <c r="I40" s="63"/>
      <c r="J40" s="70">
        <v>341650</v>
      </c>
      <c r="K40" s="70">
        <v>0</v>
      </c>
      <c r="L40" s="70">
        <v>0</v>
      </c>
      <c r="M40" s="70">
        <v>6833094.4</v>
      </c>
      <c r="N40" s="70">
        <v>0</v>
      </c>
      <c r="O40" s="70">
        <v>0</v>
      </c>
      <c r="P40" s="70">
        <f t="shared" si="1"/>
        <v>6833094.4</v>
      </c>
      <c r="Q40" s="70">
        <f t="shared" si="2"/>
        <v>341555.6</v>
      </c>
    </row>
    <row r="41" s="57" customFormat="1" ht="12.95" customHeight="1" spans="1:17">
      <c r="A41" s="69">
        <v>36</v>
      </c>
      <c r="B41" s="38" t="s">
        <v>96</v>
      </c>
      <c r="C41" s="38">
        <v>1660</v>
      </c>
      <c r="D41" s="70">
        <f t="shared" si="0"/>
        <v>4116.26506024096</v>
      </c>
      <c r="E41" s="38" t="s">
        <v>97</v>
      </c>
      <c r="F41" s="71">
        <v>43929</v>
      </c>
      <c r="G41" s="70">
        <v>6833000</v>
      </c>
      <c r="H41" s="63"/>
      <c r="I41" s="63"/>
      <c r="J41" s="70">
        <v>341650</v>
      </c>
      <c r="K41" s="70">
        <v>0</v>
      </c>
      <c r="L41" s="70">
        <v>0</v>
      </c>
      <c r="M41" s="70">
        <v>6833000</v>
      </c>
      <c r="N41" s="70">
        <v>0</v>
      </c>
      <c r="O41" s="70">
        <v>0</v>
      </c>
      <c r="P41" s="70">
        <f t="shared" si="1"/>
        <v>6833000</v>
      </c>
      <c r="Q41" s="70">
        <f t="shared" si="2"/>
        <v>341650</v>
      </c>
    </row>
    <row r="42" s="57" customFormat="1" ht="12.95" customHeight="1" spans="1:17">
      <c r="A42" s="69">
        <v>37</v>
      </c>
      <c r="B42" s="38" t="s">
        <v>98</v>
      </c>
      <c r="C42" s="38">
        <v>1660</v>
      </c>
      <c r="D42" s="70">
        <f t="shared" si="0"/>
        <v>4515.06024096385</v>
      </c>
      <c r="E42" s="38" t="s">
        <v>99</v>
      </c>
      <c r="F42" s="71">
        <v>44144</v>
      </c>
      <c r="G42" s="70">
        <v>7495000</v>
      </c>
      <c r="H42" s="63"/>
      <c r="I42" s="63"/>
      <c r="J42" s="70">
        <v>380114</v>
      </c>
      <c r="K42" s="70">
        <v>0</v>
      </c>
      <c r="L42" s="70">
        <v>6305114</v>
      </c>
      <c r="M42" s="70">
        <v>1570000</v>
      </c>
      <c r="N42" s="70">
        <v>0</v>
      </c>
      <c r="O42" s="70">
        <v>0</v>
      </c>
      <c r="P42" s="70">
        <f t="shared" si="1"/>
        <v>7875114</v>
      </c>
      <c r="Q42" s="70">
        <f t="shared" si="2"/>
        <v>0</v>
      </c>
    </row>
    <row r="43" s="57" customFormat="1" ht="12.95" customHeight="1" spans="1:17">
      <c r="A43" s="69">
        <v>38</v>
      </c>
      <c r="B43" s="38" t="s">
        <v>100</v>
      </c>
      <c r="C43" s="38">
        <v>1660</v>
      </c>
      <c r="D43" s="70">
        <f t="shared" si="0"/>
        <v>4565.06024096385</v>
      </c>
      <c r="E43" s="38" t="s">
        <v>101</v>
      </c>
      <c r="F43" s="71">
        <v>44407</v>
      </c>
      <c r="G43" s="70">
        <v>7578000</v>
      </c>
      <c r="H43" s="63"/>
      <c r="I43" s="63"/>
      <c r="J43" s="70">
        <v>378900</v>
      </c>
      <c r="K43" s="70">
        <v>0</v>
      </c>
      <c r="L43" s="70">
        <v>0</v>
      </c>
      <c r="M43" s="70">
        <v>603900</v>
      </c>
      <c r="N43" s="70">
        <v>7353000</v>
      </c>
      <c r="O43" s="70">
        <v>0</v>
      </c>
      <c r="P43" s="70">
        <f t="shared" si="1"/>
        <v>7956900</v>
      </c>
      <c r="Q43" s="70">
        <f t="shared" si="2"/>
        <v>0</v>
      </c>
    </row>
    <row r="44" s="57" customFormat="1" ht="12.95" customHeight="1" spans="1:17">
      <c r="A44" s="69">
        <v>39</v>
      </c>
      <c r="B44" s="38" t="s">
        <v>102</v>
      </c>
      <c r="C44" s="38">
        <v>1660</v>
      </c>
      <c r="D44" s="70">
        <f t="shared" si="0"/>
        <v>4565.06024096385</v>
      </c>
      <c r="E44" s="38" t="s">
        <v>101</v>
      </c>
      <c r="F44" s="71">
        <v>44407</v>
      </c>
      <c r="G44" s="70">
        <v>7578000</v>
      </c>
      <c r="H44" s="63"/>
      <c r="I44" s="63"/>
      <c r="J44" s="70">
        <v>378900</v>
      </c>
      <c r="K44" s="70">
        <v>0</v>
      </c>
      <c r="L44" s="70">
        <v>0</v>
      </c>
      <c r="M44" s="70">
        <v>603900</v>
      </c>
      <c r="N44" s="70">
        <v>7353000</v>
      </c>
      <c r="O44" s="70">
        <v>0</v>
      </c>
      <c r="P44" s="70">
        <f t="shared" si="1"/>
        <v>7956900</v>
      </c>
      <c r="Q44" s="70">
        <f t="shared" si="2"/>
        <v>0</v>
      </c>
    </row>
    <row r="45" s="57" customFormat="1" ht="12.95" customHeight="1" spans="1:17">
      <c r="A45" s="69">
        <v>40</v>
      </c>
      <c r="B45" s="38" t="s">
        <v>103</v>
      </c>
      <c r="C45" s="38">
        <v>1660</v>
      </c>
      <c r="D45" s="70">
        <f t="shared" si="0"/>
        <v>3815.06024096386</v>
      </c>
      <c r="E45" s="38" t="s">
        <v>104</v>
      </c>
      <c r="F45" s="71">
        <v>43721</v>
      </c>
      <c r="G45" s="70">
        <v>6333000</v>
      </c>
      <c r="H45" s="63"/>
      <c r="I45" s="63"/>
      <c r="J45" s="70">
        <v>434650</v>
      </c>
      <c r="K45" s="70">
        <v>1671000</v>
      </c>
      <c r="L45" s="70">
        <v>2583000</v>
      </c>
      <c r="M45" s="70">
        <v>1100000</v>
      </c>
      <c r="N45" s="70">
        <v>1413650</v>
      </c>
      <c r="O45" s="70">
        <v>0</v>
      </c>
      <c r="P45" s="70">
        <f t="shared" si="1"/>
        <v>6767650</v>
      </c>
      <c r="Q45" s="70">
        <f t="shared" si="2"/>
        <v>0</v>
      </c>
    </row>
    <row r="46" s="57" customFormat="1" ht="12.95" customHeight="1" spans="1:17">
      <c r="A46" s="69">
        <v>41</v>
      </c>
      <c r="B46" s="38" t="s">
        <v>105</v>
      </c>
      <c r="C46" s="38">
        <v>1660</v>
      </c>
      <c r="D46" s="70">
        <f t="shared" si="0"/>
        <v>4515.06024096385</v>
      </c>
      <c r="E46" s="38" t="s">
        <v>106</v>
      </c>
      <c r="F46" s="71">
        <v>44233</v>
      </c>
      <c r="G46" s="70">
        <v>7495000</v>
      </c>
      <c r="H46" s="63"/>
      <c r="I46" s="63"/>
      <c r="J46" s="70">
        <v>358201</v>
      </c>
      <c r="K46" s="70">
        <v>200000</v>
      </c>
      <c r="L46" s="70">
        <v>200000</v>
      </c>
      <c r="M46" s="70">
        <v>5550223</v>
      </c>
      <c r="N46" s="70">
        <v>1836527</v>
      </c>
      <c r="O46" s="70">
        <v>0</v>
      </c>
      <c r="P46" s="70">
        <f t="shared" si="1"/>
        <v>7786750</v>
      </c>
      <c r="Q46" s="70">
        <f t="shared" si="2"/>
        <v>66451</v>
      </c>
    </row>
    <row r="47" s="57" customFormat="1" ht="12.95" customHeight="1" spans="1:17">
      <c r="A47" s="69">
        <v>42</v>
      </c>
      <c r="B47" s="38" t="s">
        <v>107</v>
      </c>
      <c r="C47" s="38">
        <v>1660</v>
      </c>
      <c r="D47" s="70">
        <f t="shared" si="0"/>
        <v>3481.92771084337</v>
      </c>
      <c r="E47" s="38" t="s">
        <v>108</v>
      </c>
      <c r="F47" s="71">
        <v>43737</v>
      </c>
      <c r="G47" s="70">
        <v>5780000</v>
      </c>
      <c r="H47" s="63"/>
      <c r="I47" s="63"/>
      <c r="J47" s="70">
        <v>295000</v>
      </c>
      <c r="K47" s="70">
        <v>1322000</v>
      </c>
      <c r="L47" s="70">
        <v>3160000</v>
      </c>
      <c r="M47" s="70">
        <v>1593000</v>
      </c>
      <c r="N47" s="70">
        <v>0</v>
      </c>
      <c r="O47" s="70">
        <v>0</v>
      </c>
      <c r="P47" s="70">
        <f t="shared" si="1"/>
        <v>6075000</v>
      </c>
      <c r="Q47" s="70">
        <f t="shared" si="2"/>
        <v>0</v>
      </c>
    </row>
    <row r="48" s="57" customFormat="1" ht="12.95" customHeight="1" spans="1:17">
      <c r="A48" s="69">
        <v>43</v>
      </c>
      <c r="B48" s="38" t="s">
        <v>109</v>
      </c>
      <c r="C48" s="38">
        <v>1660</v>
      </c>
      <c r="D48" s="70">
        <f t="shared" si="0"/>
        <v>4095.78313253012</v>
      </c>
      <c r="E48" s="38" t="s">
        <v>110</v>
      </c>
      <c r="F48" s="71">
        <v>43759</v>
      </c>
      <c r="G48" s="70">
        <v>6799000</v>
      </c>
      <c r="H48" s="63"/>
      <c r="I48" s="63"/>
      <c r="J48" s="70">
        <v>445680</v>
      </c>
      <c r="K48" s="70">
        <v>1779000</v>
      </c>
      <c r="L48" s="70">
        <v>2142000</v>
      </c>
      <c r="M48" s="70">
        <v>3223950</v>
      </c>
      <c r="N48" s="70">
        <v>99730</v>
      </c>
      <c r="O48" s="70">
        <v>0</v>
      </c>
      <c r="P48" s="70">
        <f t="shared" si="1"/>
        <v>7244680</v>
      </c>
      <c r="Q48" s="70">
        <f t="shared" si="2"/>
        <v>0</v>
      </c>
    </row>
    <row r="49" s="57" customFormat="1" ht="12.95" customHeight="1" spans="1:17">
      <c r="A49" s="69">
        <v>44</v>
      </c>
      <c r="B49" s="38" t="s">
        <v>111</v>
      </c>
      <c r="C49" s="38">
        <v>1660</v>
      </c>
      <c r="D49" s="70">
        <f t="shared" si="0"/>
        <v>3815.06024096386</v>
      </c>
      <c r="E49" s="38" t="s">
        <v>112</v>
      </c>
      <c r="F49" s="71">
        <v>43726</v>
      </c>
      <c r="G49" s="70">
        <v>6333000</v>
      </c>
      <c r="H49" s="63"/>
      <c r="I49" s="63"/>
      <c r="J49" s="70">
        <f>316650+88744</f>
        <v>405394</v>
      </c>
      <c r="K49" s="70">
        <v>1671000</v>
      </c>
      <c r="L49" s="70">
        <v>1983000</v>
      </c>
      <c r="M49" s="70">
        <v>2995650</v>
      </c>
      <c r="N49" s="70">
        <v>0</v>
      </c>
      <c r="O49" s="70">
        <v>88744</v>
      </c>
      <c r="P49" s="70">
        <f t="shared" si="1"/>
        <v>6738394</v>
      </c>
      <c r="Q49" s="70">
        <f t="shared" si="2"/>
        <v>0</v>
      </c>
    </row>
    <row r="50" s="57" customFormat="1" ht="12.95" customHeight="1" spans="1:17">
      <c r="A50" s="69">
        <v>45</v>
      </c>
      <c r="B50" s="38" t="s">
        <v>113</v>
      </c>
      <c r="C50" s="38">
        <v>1660</v>
      </c>
      <c r="D50" s="70">
        <f t="shared" si="0"/>
        <v>4116.26506024096</v>
      </c>
      <c r="E50" s="38" t="s">
        <v>114</v>
      </c>
      <c r="F50" s="71">
        <v>43778</v>
      </c>
      <c r="G50" s="70">
        <v>6833000</v>
      </c>
      <c r="H50" s="63"/>
      <c r="I50" s="63"/>
      <c r="J50" s="70">
        <v>349483</v>
      </c>
      <c r="K50" s="70">
        <v>2033000</v>
      </c>
      <c r="L50" s="70">
        <v>2105050</v>
      </c>
      <c r="M50" s="70">
        <v>2542600</v>
      </c>
      <c r="N50" s="70">
        <v>501833</v>
      </c>
      <c r="O50" s="70">
        <v>0</v>
      </c>
      <c r="P50" s="70">
        <f t="shared" si="1"/>
        <v>7182483</v>
      </c>
      <c r="Q50" s="70">
        <f t="shared" si="2"/>
        <v>0</v>
      </c>
    </row>
    <row r="51" s="57" customFormat="1" ht="12.95" customHeight="1" spans="1:17">
      <c r="A51" s="69">
        <v>46</v>
      </c>
      <c r="B51" s="38" t="s">
        <v>115</v>
      </c>
      <c r="C51" s="38">
        <v>1660</v>
      </c>
      <c r="D51" s="70">
        <f t="shared" si="0"/>
        <v>4168.67469879518</v>
      </c>
      <c r="E51" s="38" t="s">
        <v>116</v>
      </c>
      <c r="F51" s="71">
        <v>43821</v>
      </c>
      <c r="G51" s="70">
        <v>6920000</v>
      </c>
      <c r="H51" s="63"/>
      <c r="I51" s="63"/>
      <c r="J51" s="70">
        <v>396693</v>
      </c>
      <c r="K51" s="70">
        <v>1809000</v>
      </c>
      <c r="L51" s="70">
        <v>2183000</v>
      </c>
      <c r="M51" s="70">
        <v>1637000</v>
      </c>
      <c r="N51" s="70">
        <f>1667828+19865</f>
        <v>1687693</v>
      </c>
      <c r="O51" s="70">
        <v>0</v>
      </c>
      <c r="P51" s="70">
        <f t="shared" si="1"/>
        <v>7316693</v>
      </c>
      <c r="Q51" s="70">
        <f t="shared" si="2"/>
        <v>0</v>
      </c>
    </row>
    <row r="52" s="57" customFormat="1" ht="12.95" customHeight="1" spans="1:17">
      <c r="A52" s="69">
        <v>47</v>
      </c>
      <c r="B52" s="38" t="s">
        <v>117</v>
      </c>
      <c r="C52" s="38">
        <v>1660</v>
      </c>
      <c r="D52" s="70">
        <f t="shared" si="0"/>
        <v>4104.81927710843</v>
      </c>
      <c r="E52" s="38" t="s">
        <v>118</v>
      </c>
      <c r="F52" s="71">
        <v>43737</v>
      </c>
      <c r="G52" s="70">
        <v>6814000</v>
      </c>
      <c r="H52" s="63"/>
      <c r="I52" s="63"/>
      <c r="J52" s="70">
        <v>538729</v>
      </c>
      <c r="K52" s="70">
        <v>1784000</v>
      </c>
      <c r="L52" s="70">
        <v>3757003</v>
      </c>
      <c r="M52" s="70">
        <v>1619700</v>
      </c>
      <c r="N52" s="70">
        <v>192026</v>
      </c>
      <c r="O52" s="70">
        <v>0</v>
      </c>
      <c r="P52" s="70">
        <f t="shared" si="1"/>
        <v>7352729</v>
      </c>
      <c r="Q52" s="70">
        <f t="shared" si="2"/>
        <v>0</v>
      </c>
    </row>
    <row r="53" s="57" customFormat="1" ht="12.95" customHeight="1" spans="1:17">
      <c r="A53" s="69">
        <v>48</v>
      </c>
      <c r="B53" s="38" t="s">
        <v>119</v>
      </c>
      <c r="C53" s="38">
        <v>1660</v>
      </c>
      <c r="D53" s="70">
        <f t="shared" si="0"/>
        <v>3815.06024096386</v>
      </c>
      <c r="E53" s="38" t="s">
        <v>120</v>
      </c>
      <c r="F53" s="71">
        <v>43723</v>
      </c>
      <c r="G53" s="70">
        <v>6333000</v>
      </c>
      <c r="H53" s="63"/>
      <c r="I53" s="63"/>
      <c r="J53" s="70">
        <v>404812</v>
      </c>
      <c r="K53" s="70">
        <v>1671000</v>
      </c>
      <c r="L53" s="70">
        <v>1983000</v>
      </c>
      <c r="M53" s="70">
        <f>2938320+63330</f>
        <v>3001650</v>
      </c>
      <c r="N53" s="70">
        <v>82162</v>
      </c>
      <c r="O53" s="70">
        <v>0</v>
      </c>
      <c r="P53" s="70">
        <f t="shared" si="1"/>
        <v>6737812</v>
      </c>
      <c r="Q53" s="70">
        <f t="shared" si="2"/>
        <v>0</v>
      </c>
    </row>
    <row r="54" s="57" customFormat="1" ht="12.95" customHeight="1" spans="1:17">
      <c r="A54" s="69">
        <v>49</v>
      </c>
      <c r="B54" s="38" t="s">
        <v>121</v>
      </c>
      <c r="C54" s="38">
        <v>1660</v>
      </c>
      <c r="D54" s="70">
        <f t="shared" si="0"/>
        <v>3915.06024096386</v>
      </c>
      <c r="E54" s="38" t="s">
        <v>122</v>
      </c>
      <c r="F54" s="71">
        <v>43716</v>
      </c>
      <c r="G54" s="70">
        <v>6499000</v>
      </c>
      <c r="H54" s="63"/>
      <c r="I54" s="63"/>
      <c r="J54" s="70">
        <v>850664</v>
      </c>
      <c r="K54" s="70">
        <v>1710000</v>
      </c>
      <c r="L54" s="70">
        <v>3729000</v>
      </c>
      <c r="M54" s="70">
        <v>1885202</v>
      </c>
      <c r="N54" s="70">
        <v>25462</v>
      </c>
      <c r="O54" s="70">
        <v>0</v>
      </c>
      <c r="P54" s="70">
        <f t="shared" si="1"/>
        <v>7349664</v>
      </c>
      <c r="Q54" s="70">
        <f t="shared" si="2"/>
        <v>0</v>
      </c>
    </row>
    <row r="55" s="57" customFormat="1" ht="12.95" customHeight="1" spans="1:17">
      <c r="A55" s="69">
        <v>50</v>
      </c>
      <c r="B55" s="38" t="s">
        <v>123</v>
      </c>
      <c r="C55" s="38">
        <v>1660</v>
      </c>
      <c r="D55" s="70">
        <f t="shared" si="0"/>
        <v>3815.06024096386</v>
      </c>
      <c r="E55" s="38" t="s">
        <v>124</v>
      </c>
      <c r="F55" s="71">
        <v>43714</v>
      </c>
      <c r="G55" s="70">
        <v>6333000</v>
      </c>
      <c r="H55" s="63"/>
      <c r="I55" s="63"/>
      <c r="J55" s="70">
        <f>347478-12740</f>
        <v>334738</v>
      </c>
      <c r="K55" s="70">
        <v>1671000</v>
      </c>
      <c r="L55" s="70">
        <v>1983000</v>
      </c>
      <c r="M55" s="70">
        <v>1487000</v>
      </c>
      <c r="N55" s="70">
        <v>1513000</v>
      </c>
      <c r="O55" s="70">
        <v>13738</v>
      </c>
      <c r="P55" s="70">
        <f t="shared" si="1"/>
        <v>6667738</v>
      </c>
      <c r="Q55" s="70">
        <f t="shared" si="2"/>
        <v>0</v>
      </c>
    </row>
    <row r="56" s="57" customFormat="1" ht="12.95" customHeight="1" spans="1:17">
      <c r="A56" s="69">
        <v>51</v>
      </c>
      <c r="B56" s="38" t="s">
        <v>125</v>
      </c>
      <c r="C56" s="38">
        <v>1660</v>
      </c>
      <c r="D56" s="70">
        <f t="shared" si="0"/>
        <v>4095.78313253012</v>
      </c>
      <c r="E56" s="38" t="s">
        <v>126</v>
      </c>
      <c r="F56" s="71">
        <v>43770</v>
      </c>
      <c r="G56" s="70">
        <v>6799000</v>
      </c>
      <c r="H56" s="63"/>
      <c r="I56" s="63"/>
      <c r="J56" s="70">
        <v>340658</v>
      </c>
      <c r="K56" s="70">
        <v>1779000</v>
      </c>
      <c r="L56" s="70">
        <v>2142000</v>
      </c>
      <c r="M56" s="70">
        <v>1600000</v>
      </c>
      <c r="N56" s="70">
        <v>1648778</v>
      </c>
      <c r="O56" s="70">
        <v>0</v>
      </c>
      <c r="P56" s="70">
        <f t="shared" si="1"/>
        <v>7169778</v>
      </c>
      <c r="Q56" s="70">
        <f t="shared" si="2"/>
        <v>-30120</v>
      </c>
    </row>
    <row r="57" s="57" customFormat="1" ht="12.95" customHeight="1" spans="1:17">
      <c r="A57" s="69">
        <v>52</v>
      </c>
      <c r="B57" s="38" t="s">
        <v>127</v>
      </c>
      <c r="C57" s="38">
        <v>1660</v>
      </c>
      <c r="D57" s="70">
        <f t="shared" si="0"/>
        <v>3815.06024096386</v>
      </c>
      <c r="E57" s="38" t="s">
        <v>128</v>
      </c>
      <c r="F57" s="71">
        <v>43719</v>
      </c>
      <c r="G57" s="70">
        <v>6333000</v>
      </c>
      <c r="H57" s="63"/>
      <c r="I57" s="63"/>
      <c r="J57" s="70">
        <v>316650</v>
      </c>
      <c r="K57" s="70">
        <v>1671000</v>
      </c>
      <c r="L57" s="70">
        <v>0</v>
      </c>
      <c r="M57" s="70">
        <v>4000000</v>
      </c>
      <c r="N57" s="70">
        <v>1003150</v>
      </c>
      <c r="O57" s="70">
        <v>0</v>
      </c>
      <c r="P57" s="70">
        <f t="shared" si="1"/>
        <v>6674150</v>
      </c>
      <c r="Q57" s="70">
        <f t="shared" si="2"/>
        <v>-24500</v>
      </c>
    </row>
    <row r="58" s="57" customFormat="1" ht="12.95" customHeight="1" spans="1:17">
      <c r="A58" s="69">
        <v>53</v>
      </c>
      <c r="B58" s="38" t="s">
        <v>129</v>
      </c>
      <c r="C58" s="38">
        <v>1660</v>
      </c>
      <c r="D58" s="70">
        <f t="shared" si="0"/>
        <v>3515.06024096386</v>
      </c>
      <c r="E58" s="38" t="s">
        <v>130</v>
      </c>
      <c r="F58" s="71">
        <v>44469</v>
      </c>
      <c r="G58" s="70">
        <v>5835000</v>
      </c>
      <c r="H58" s="63"/>
      <c r="I58" s="63"/>
      <c r="J58" s="70">
        <v>329617</v>
      </c>
      <c r="K58" s="70">
        <v>0</v>
      </c>
      <c r="L58" s="70">
        <v>0</v>
      </c>
      <c r="M58" s="70">
        <v>4225000</v>
      </c>
      <c r="N58" s="70">
        <v>1835750</v>
      </c>
      <c r="O58" s="70">
        <v>103867</v>
      </c>
      <c r="P58" s="70">
        <f t="shared" si="1"/>
        <v>6164617</v>
      </c>
      <c r="Q58" s="70">
        <f t="shared" si="2"/>
        <v>0</v>
      </c>
    </row>
    <row r="59" s="57" customFormat="1" ht="12.95" customHeight="1" spans="1:17">
      <c r="A59" s="69">
        <v>54</v>
      </c>
      <c r="B59" s="38" t="s">
        <v>131</v>
      </c>
      <c r="C59" s="38">
        <v>1660</v>
      </c>
      <c r="D59" s="70">
        <f t="shared" si="0"/>
        <v>4216.86746987952</v>
      </c>
      <c r="E59" s="38" t="s">
        <v>132</v>
      </c>
      <c r="F59" s="71">
        <v>43783</v>
      </c>
      <c r="G59" s="70">
        <v>7000000</v>
      </c>
      <c r="H59" s="63"/>
      <c r="I59" s="63"/>
      <c r="J59" s="70">
        <f>347340+126660</f>
        <v>474000</v>
      </c>
      <c r="K59" s="70">
        <v>1275000</v>
      </c>
      <c r="L59" s="70">
        <v>2735000</v>
      </c>
      <c r="M59" s="70">
        <v>1658000</v>
      </c>
      <c r="N59" s="70">
        <v>1806000</v>
      </c>
      <c r="O59" s="70">
        <v>0</v>
      </c>
      <c r="P59" s="70">
        <f t="shared" si="1"/>
        <v>7474000</v>
      </c>
      <c r="Q59" s="70">
        <f t="shared" si="2"/>
        <v>0</v>
      </c>
    </row>
    <row r="60" s="57" customFormat="1" ht="12.95" customHeight="1" spans="1:17">
      <c r="A60" s="69">
        <v>55</v>
      </c>
      <c r="B60" s="38" t="s">
        <v>133</v>
      </c>
      <c r="C60" s="38">
        <v>1660</v>
      </c>
      <c r="D60" s="70">
        <f t="shared" si="0"/>
        <v>4765.06024096385</v>
      </c>
      <c r="E60" s="38" t="s">
        <v>134</v>
      </c>
      <c r="F60" s="71">
        <v>44363</v>
      </c>
      <c r="G60" s="70">
        <v>7910000</v>
      </c>
      <c r="H60" s="63"/>
      <c r="I60" s="63"/>
      <c r="J60" s="70">
        <v>426328</v>
      </c>
      <c r="K60" s="70">
        <v>0</v>
      </c>
      <c r="L60" s="70">
        <v>0</v>
      </c>
      <c r="M60" s="70">
        <v>6545000</v>
      </c>
      <c r="N60" s="70">
        <v>1791328</v>
      </c>
      <c r="O60" s="70">
        <v>0</v>
      </c>
      <c r="P60" s="70">
        <f t="shared" si="1"/>
        <v>8336328</v>
      </c>
      <c r="Q60" s="70">
        <f t="shared" si="2"/>
        <v>0</v>
      </c>
    </row>
    <row r="61" s="57" customFormat="1" ht="12.95" customHeight="1" spans="1:17">
      <c r="A61" s="69">
        <v>56</v>
      </c>
      <c r="B61" s="38" t="s">
        <v>135</v>
      </c>
      <c r="C61" s="38">
        <v>1660</v>
      </c>
      <c r="D61" s="70">
        <f t="shared" si="0"/>
        <v>4451.80722891566</v>
      </c>
      <c r="E61" s="38" t="s">
        <v>136</v>
      </c>
      <c r="F61" s="71">
        <v>44561</v>
      </c>
      <c r="G61" s="70">
        <v>7390000</v>
      </c>
      <c r="H61" s="63"/>
      <c r="I61" s="63"/>
      <c r="J61" s="70">
        <v>531898</v>
      </c>
      <c r="K61" s="70">
        <v>0</v>
      </c>
      <c r="L61" s="70">
        <v>0</v>
      </c>
      <c r="M61" s="70">
        <v>5738300</v>
      </c>
      <c r="N61" s="70">
        <v>2183598</v>
      </c>
      <c r="O61" s="70">
        <v>0</v>
      </c>
      <c r="P61" s="70">
        <f t="shared" si="1"/>
        <v>7921898</v>
      </c>
      <c r="Q61" s="70">
        <f t="shared" si="2"/>
        <v>0</v>
      </c>
    </row>
    <row r="62" s="57" customFormat="1" ht="12.95" customHeight="1" spans="1:17">
      <c r="A62" s="69">
        <v>57</v>
      </c>
      <c r="B62" s="38" t="s">
        <v>137</v>
      </c>
      <c r="C62" s="38">
        <v>1660</v>
      </c>
      <c r="D62" s="70">
        <f t="shared" si="0"/>
        <v>4765.06024096385</v>
      </c>
      <c r="E62" s="38" t="s">
        <v>138</v>
      </c>
      <c r="F62" s="71">
        <v>44329</v>
      </c>
      <c r="G62" s="70">
        <v>7910000</v>
      </c>
      <c r="H62" s="63"/>
      <c r="I62" s="63"/>
      <c r="J62" s="70">
        <v>578878</v>
      </c>
      <c r="K62" s="70">
        <v>0</v>
      </c>
      <c r="L62" s="70">
        <v>0</v>
      </c>
      <c r="M62" s="70">
        <v>6489000</v>
      </c>
      <c r="N62" s="70">
        <v>1999878</v>
      </c>
      <c r="O62" s="70">
        <v>0</v>
      </c>
      <c r="P62" s="70">
        <f t="shared" si="1"/>
        <v>8488878</v>
      </c>
      <c r="Q62" s="70">
        <f t="shared" si="2"/>
        <v>0</v>
      </c>
    </row>
    <row r="63" s="57" customFormat="1" ht="12.95" customHeight="1" spans="1:17">
      <c r="A63" s="69">
        <v>58</v>
      </c>
      <c r="B63" s="38" t="s">
        <v>139</v>
      </c>
      <c r="C63" s="38">
        <v>1660</v>
      </c>
      <c r="D63" s="70">
        <f t="shared" si="0"/>
        <v>4256.6265060241</v>
      </c>
      <c r="E63" s="38" t="s">
        <v>140</v>
      </c>
      <c r="F63" s="71">
        <v>44075</v>
      </c>
      <c r="G63" s="70">
        <v>7066000</v>
      </c>
      <c r="H63" s="63"/>
      <c r="I63" s="63"/>
      <c r="J63" s="70">
        <v>566020</v>
      </c>
      <c r="K63" s="70">
        <v>0</v>
      </c>
      <c r="L63" s="70">
        <v>1225000</v>
      </c>
      <c r="M63" s="70">
        <v>4528000</v>
      </c>
      <c r="N63" s="70">
        <v>1879020</v>
      </c>
      <c r="O63" s="70">
        <v>0</v>
      </c>
      <c r="P63" s="70">
        <f t="shared" si="1"/>
        <v>7632020</v>
      </c>
      <c r="Q63" s="70">
        <f t="shared" si="2"/>
        <v>0</v>
      </c>
    </row>
    <row r="64" s="57" customFormat="1" ht="12.95" customHeight="1" spans="1:17">
      <c r="A64" s="69">
        <v>59</v>
      </c>
      <c r="B64" s="38" t="s">
        <v>141</v>
      </c>
      <c r="C64" s="38">
        <v>1660</v>
      </c>
      <c r="D64" s="70">
        <f t="shared" si="0"/>
        <v>5995.78313253012</v>
      </c>
      <c r="E64" s="38" t="s">
        <v>142</v>
      </c>
      <c r="F64" s="71">
        <v>45311</v>
      </c>
      <c r="G64" s="70">
        <v>9953000</v>
      </c>
      <c r="H64" s="63"/>
      <c r="I64" s="63"/>
      <c r="J64" s="70">
        <v>407600</v>
      </c>
      <c r="K64" s="70">
        <v>0</v>
      </c>
      <c r="L64" s="70">
        <v>0</v>
      </c>
      <c r="M64" s="70">
        <v>0</v>
      </c>
      <c r="N64" s="70">
        <v>0</v>
      </c>
      <c r="O64" s="70">
        <v>8152000</v>
      </c>
      <c r="P64" s="70">
        <f t="shared" si="1"/>
        <v>8152000</v>
      </c>
      <c r="Q64" s="70">
        <f t="shared" si="2"/>
        <v>2208600</v>
      </c>
    </row>
    <row r="65" s="57" customFormat="1" ht="12.95" customHeight="1" spans="1:17">
      <c r="A65" s="69">
        <v>60</v>
      </c>
      <c r="B65" s="38" t="s">
        <v>143</v>
      </c>
      <c r="C65" s="38">
        <v>1660</v>
      </c>
      <c r="D65" s="70">
        <f t="shared" si="0"/>
        <v>4130.72289156627</v>
      </c>
      <c r="E65" s="38" t="s">
        <v>144</v>
      </c>
      <c r="F65" s="71">
        <v>44498</v>
      </c>
      <c r="G65" s="70">
        <v>6857000</v>
      </c>
      <c r="H65" s="63"/>
      <c r="I65" s="63"/>
      <c r="J65" s="70">
        <v>609350</v>
      </c>
      <c r="K65" s="70">
        <v>0</v>
      </c>
      <c r="L65" s="70">
        <v>0</v>
      </c>
      <c r="M65" s="70">
        <v>4025000</v>
      </c>
      <c r="N65" s="70">
        <v>3441350</v>
      </c>
      <c r="O65" s="70">
        <v>0</v>
      </c>
      <c r="P65" s="70">
        <f t="shared" si="1"/>
        <v>7466350</v>
      </c>
      <c r="Q65" s="70">
        <f t="shared" si="2"/>
        <v>0</v>
      </c>
    </row>
    <row r="66" s="57" customFormat="1" ht="12.95" customHeight="1" spans="1:17">
      <c r="A66" s="69">
        <v>61</v>
      </c>
      <c r="B66" s="38" t="s">
        <v>145</v>
      </c>
      <c r="C66" s="38">
        <v>1660</v>
      </c>
      <c r="D66" s="70">
        <f t="shared" si="0"/>
        <v>4715.06024096385</v>
      </c>
      <c r="E66" s="38" t="s">
        <v>146</v>
      </c>
      <c r="F66" s="71">
        <v>44206</v>
      </c>
      <c r="G66" s="70">
        <v>7827000</v>
      </c>
      <c r="H66" s="63"/>
      <c r="I66" s="63"/>
      <c r="J66" s="70">
        <v>430096</v>
      </c>
      <c r="K66" s="70">
        <v>0</v>
      </c>
      <c r="L66" s="70">
        <v>2022000</v>
      </c>
      <c r="M66" s="70">
        <v>4359000</v>
      </c>
      <c r="N66" s="70">
        <v>1868178</v>
      </c>
      <c r="O66" s="70">
        <v>7918</v>
      </c>
      <c r="P66" s="70">
        <f t="shared" si="1"/>
        <v>8257096</v>
      </c>
      <c r="Q66" s="70">
        <f t="shared" si="2"/>
        <v>0</v>
      </c>
    </row>
    <row r="67" s="57" customFormat="1" ht="12.95" customHeight="1" spans="1:17">
      <c r="A67" s="69">
        <v>62</v>
      </c>
      <c r="B67" s="38" t="s">
        <v>147</v>
      </c>
      <c r="C67" s="38">
        <v>1660</v>
      </c>
      <c r="D67" s="70">
        <f t="shared" si="0"/>
        <v>4665.66265060241</v>
      </c>
      <c r="E67" s="38" t="s">
        <v>148</v>
      </c>
      <c r="F67" s="71">
        <v>44280</v>
      </c>
      <c r="G67" s="70">
        <v>7745000</v>
      </c>
      <c r="H67" s="63"/>
      <c r="I67" s="63"/>
      <c r="J67" s="70">
        <v>335078</v>
      </c>
      <c r="K67" s="70">
        <v>0</v>
      </c>
      <c r="L67" s="70">
        <v>25000</v>
      </c>
      <c r="M67" s="70">
        <v>6301500</v>
      </c>
      <c r="N67" s="70">
        <v>1068000</v>
      </c>
      <c r="O67" s="70">
        <v>685578</v>
      </c>
      <c r="P67" s="70">
        <f t="shared" si="1"/>
        <v>8080078</v>
      </c>
      <c r="Q67" s="70">
        <f t="shared" si="2"/>
        <v>0</v>
      </c>
    </row>
    <row r="68" s="57" customFormat="1" ht="12.95" customHeight="1" spans="1:17">
      <c r="A68" s="69">
        <v>63</v>
      </c>
      <c r="B68" s="38" t="s">
        <v>149</v>
      </c>
      <c r="C68" s="38">
        <v>1660</v>
      </c>
      <c r="D68" s="70">
        <f t="shared" si="0"/>
        <v>3852.40963855422</v>
      </c>
      <c r="E68" s="38" t="s">
        <v>150</v>
      </c>
      <c r="F68" s="71">
        <v>44132</v>
      </c>
      <c r="G68" s="70">
        <v>6395000</v>
      </c>
      <c r="H68" s="63"/>
      <c r="I68" s="63"/>
      <c r="J68" s="70">
        <f>G68*5%+5428+900+47412+24500-83000</f>
        <v>314990</v>
      </c>
      <c r="K68" s="70">
        <v>0</v>
      </c>
      <c r="L68" s="70">
        <v>841500</v>
      </c>
      <c r="M68" s="70">
        <v>4169700</v>
      </c>
      <c r="N68" s="70">
        <v>1183800</v>
      </c>
      <c r="O68" s="70">
        <v>500000</v>
      </c>
      <c r="P68" s="70">
        <f t="shared" si="1"/>
        <v>6695000</v>
      </c>
      <c r="Q68" s="70">
        <f t="shared" si="2"/>
        <v>14990</v>
      </c>
    </row>
    <row r="69" s="57" customFormat="1" ht="12.95" customHeight="1" spans="1:17">
      <c r="A69" s="69">
        <v>64</v>
      </c>
      <c r="B69" s="38" t="s">
        <v>151</v>
      </c>
      <c r="C69" s="38">
        <v>1660</v>
      </c>
      <c r="D69" s="70">
        <f t="shared" si="0"/>
        <v>3852.40963855422</v>
      </c>
      <c r="E69" s="38" t="s">
        <v>152</v>
      </c>
      <c r="F69" s="71">
        <v>44130</v>
      </c>
      <c r="G69" s="70">
        <v>6395000</v>
      </c>
      <c r="H69" s="63"/>
      <c r="I69" s="63"/>
      <c r="J69" s="70">
        <f>309750+5240</f>
        <v>314990</v>
      </c>
      <c r="K69" s="70">
        <v>0</v>
      </c>
      <c r="L69" s="70">
        <v>841500</v>
      </c>
      <c r="M69" s="70">
        <v>4169700</v>
      </c>
      <c r="N69" s="70">
        <v>1183800</v>
      </c>
      <c r="O69" s="70">
        <v>514990</v>
      </c>
      <c r="P69" s="70">
        <f t="shared" si="1"/>
        <v>6709990</v>
      </c>
      <c r="Q69" s="70">
        <f t="shared" si="2"/>
        <v>0</v>
      </c>
    </row>
    <row r="70" s="57" customFormat="1" ht="12.95" customHeight="1" spans="1:17">
      <c r="A70" s="69">
        <v>65</v>
      </c>
      <c r="B70" s="38" t="s">
        <v>153</v>
      </c>
      <c r="C70" s="38">
        <v>1660</v>
      </c>
      <c r="D70" s="70">
        <f>G70/C70</f>
        <v>3714.4578313253</v>
      </c>
      <c r="E70" s="38" t="s">
        <v>154</v>
      </c>
      <c r="F70" s="71">
        <v>44099</v>
      </c>
      <c r="G70" s="70">
        <v>6166000</v>
      </c>
      <c r="H70" s="63"/>
      <c r="I70" s="63"/>
      <c r="J70" s="70">
        <f>G70*5%</f>
        <v>308300</v>
      </c>
      <c r="K70" s="70">
        <v>0</v>
      </c>
      <c r="L70" s="70">
        <v>845000</v>
      </c>
      <c r="M70" s="70">
        <v>3960724</v>
      </c>
      <c r="N70" s="70">
        <v>0</v>
      </c>
      <c r="O70" s="70">
        <v>1400000</v>
      </c>
      <c r="P70" s="70">
        <f t="shared" si="1"/>
        <v>6205724</v>
      </c>
      <c r="Q70" s="70">
        <f t="shared" si="2"/>
        <v>268576</v>
      </c>
    </row>
    <row r="71" s="57" customFormat="1" ht="12.95" customHeight="1" spans="1:17">
      <c r="A71" s="69">
        <v>66</v>
      </c>
      <c r="B71" s="38" t="s">
        <v>155</v>
      </c>
      <c r="C71" s="38">
        <v>1660</v>
      </c>
      <c r="D71" s="70">
        <f t="shared" ref="D71:D79" si="3">G71/C71</f>
        <v>4215.66265060241</v>
      </c>
      <c r="E71" s="38" t="s">
        <v>156</v>
      </c>
      <c r="F71" s="71">
        <v>43885</v>
      </c>
      <c r="G71" s="70">
        <v>6998000</v>
      </c>
      <c r="H71" s="63"/>
      <c r="I71" s="63"/>
      <c r="J71" s="70">
        <v>440047</v>
      </c>
      <c r="K71" s="70">
        <v>227250</v>
      </c>
      <c r="L71" s="70">
        <v>1717400</v>
      </c>
      <c r="M71" s="70">
        <v>3866000</v>
      </c>
      <c r="N71" s="70">
        <v>0</v>
      </c>
      <c r="O71" s="70">
        <v>1568078</v>
      </c>
      <c r="P71" s="70">
        <f>SUM(K71:O71)</f>
        <v>7378728</v>
      </c>
      <c r="Q71" s="70">
        <f>G71+J71-P71</f>
        <v>59319</v>
      </c>
    </row>
    <row r="72" s="57" customFormat="1" ht="12.95" customHeight="1" spans="1:17">
      <c r="A72" s="69">
        <v>67</v>
      </c>
      <c r="B72" s="38" t="s">
        <v>157</v>
      </c>
      <c r="C72" s="38">
        <v>1660</v>
      </c>
      <c r="D72" s="70">
        <f t="shared" si="3"/>
        <v>4390.36144578313</v>
      </c>
      <c r="E72" s="38" t="s">
        <v>158</v>
      </c>
      <c r="F72" s="71">
        <v>43842</v>
      </c>
      <c r="G72" s="70">
        <v>7288000</v>
      </c>
      <c r="H72" s="63"/>
      <c r="I72" s="63"/>
      <c r="J72" s="70">
        <v>354400</v>
      </c>
      <c r="K72" s="70">
        <v>1318000</v>
      </c>
      <c r="L72" s="70">
        <v>577000</v>
      </c>
      <c r="M72" s="70">
        <v>2308000</v>
      </c>
      <c r="N72" s="70">
        <v>2631000</v>
      </c>
      <c r="O72" s="70">
        <v>792169</v>
      </c>
      <c r="P72" s="70">
        <f t="shared" ref="P72:P80" si="4">SUM(K72:O72)</f>
        <v>7626169</v>
      </c>
      <c r="Q72" s="70">
        <f t="shared" ref="Q72:Q105" si="5">G72+J72-P72</f>
        <v>16231</v>
      </c>
    </row>
    <row r="73" s="57" customFormat="1" ht="12.95" customHeight="1" spans="1:17">
      <c r="A73" s="69">
        <v>68</v>
      </c>
      <c r="B73" s="38" t="s">
        <v>159</v>
      </c>
      <c r="C73" s="38">
        <v>1660</v>
      </c>
      <c r="D73" s="70">
        <f t="shared" si="3"/>
        <v>4965.06024096385</v>
      </c>
      <c r="E73" s="38" t="s">
        <v>160</v>
      </c>
      <c r="F73" s="71">
        <v>44402</v>
      </c>
      <c r="G73" s="70">
        <v>8242000</v>
      </c>
      <c r="H73" s="63"/>
      <c r="I73" s="63"/>
      <c r="J73" s="70">
        <f>G73*5%+81008-83000</f>
        <v>410108</v>
      </c>
      <c r="K73" s="70">
        <v>0</v>
      </c>
      <c r="L73" s="70">
        <v>0</v>
      </c>
      <c r="M73" s="70">
        <v>4219000</v>
      </c>
      <c r="N73" s="70">
        <v>4465928</v>
      </c>
      <c r="O73" s="70">
        <v>0</v>
      </c>
      <c r="P73" s="70">
        <f t="shared" si="4"/>
        <v>8684928</v>
      </c>
      <c r="Q73" s="70">
        <f t="shared" si="5"/>
        <v>-32820</v>
      </c>
    </row>
    <row r="74" s="57" customFormat="1" ht="12.95" customHeight="1" spans="1:17">
      <c r="A74" s="69">
        <v>69</v>
      </c>
      <c r="B74" s="38" t="s">
        <v>161</v>
      </c>
      <c r="C74" s="38">
        <v>1660</v>
      </c>
      <c r="D74" s="70">
        <f t="shared" si="3"/>
        <v>4277.10843373494</v>
      </c>
      <c r="E74" s="38" t="s">
        <v>162</v>
      </c>
      <c r="F74" s="71">
        <v>43818</v>
      </c>
      <c r="G74" s="70">
        <v>7100000</v>
      </c>
      <c r="H74" s="63"/>
      <c r="I74" s="63"/>
      <c r="J74" s="70">
        <f>G74*5%+77609</f>
        <v>432609</v>
      </c>
      <c r="K74" s="70">
        <v>1290000</v>
      </c>
      <c r="L74" s="70">
        <v>3009750</v>
      </c>
      <c r="M74" s="70">
        <v>1767150</v>
      </c>
      <c r="N74" s="70">
        <v>1388100</v>
      </c>
      <c r="O74" s="70">
        <v>77609</v>
      </c>
      <c r="P74" s="70">
        <f t="shared" si="4"/>
        <v>7532609</v>
      </c>
      <c r="Q74" s="70">
        <f t="shared" si="5"/>
        <v>0</v>
      </c>
    </row>
    <row r="75" s="57" customFormat="1" ht="12.95" customHeight="1" spans="1:17">
      <c r="A75" s="69">
        <v>70</v>
      </c>
      <c r="B75" s="38" t="s">
        <v>163</v>
      </c>
      <c r="C75" s="38">
        <v>1660</v>
      </c>
      <c r="D75" s="70">
        <f t="shared" si="3"/>
        <v>4215.06024096385</v>
      </c>
      <c r="E75" s="38" t="s">
        <v>164</v>
      </c>
      <c r="F75" s="71">
        <v>43880</v>
      </c>
      <c r="G75" s="70">
        <v>6997000</v>
      </c>
      <c r="H75" s="63"/>
      <c r="I75" s="63"/>
      <c r="J75" s="70">
        <f>333266+16584</f>
        <v>349850</v>
      </c>
      <c r="K75" s="70">
        <v>225000</v>
      </c>
      <c r="L75" s="70">
        <v>1075000</v>
      </c>
      <c r="M75" s="70">
        <v>2736000</v>
      </c>
      <c r="N75" s="70">
        <v>1657000</v>
      </c>
      <c r="O75" s="70">
        <v>1653850</v>
      </c>
      <c r="P75" s="70">
        <f t="shared" si="4"/>
        <v>7346850</v>
      </c>
      <c r="Q75" s="70">
        <f t="shared" si="5"/>
        <v>0</v>
      </c>
    </row>
    <row r="76" s="57" customFormat="1" ht="12.95" customHeight="1" spans="1:17">
      <c r="A76" s="69">
        <v>71</v>
      </c>
      <c r="B76" s="38" t="s">
        <v>165</v>
      </c>
      <c r="C76" s="38">
        <v>1660</v>
      </c>
      <c r="D76" s="70">
        <f t="shared" si="3"/>
        <v>3912.65060240964</v>
      </c>
      <c r="E76" s="38" t="s">
        <v>166</v>
      </c>
      <c r="F76" s="71">
        <v>44135</v>
      </c>
      <c r="G76" s="70">
        <v>6495000</v>
      </c>
      <c r="H76" s="63"/>
      <c r="I76" s="63"/>
      <c r="J76" s="70">
        <f>G76*5%+30828-83000</f>
        <v>272578</v>
      </c>
      <c r="K76" s="70">
        <v>0</v>
      </c>
      <c r="L76" s="70">
        <v>349000</v>
      </c>
      <c r="M76" s="70">
        <v>609000</v>
      </c>
      <c r="N76" s="70">
        <v>4525000</v>
      </c>
      <c r="O76" s="70">
        <f>867578+500000</f>
        <v>1367578</v>
      </c>
      <c r="P76" s="70">
        <f t="shared" si="4"/>
        <v>6850578</v>
      </c>
      <c r="Q76" s="70">
        <f t="shared" si="5"/>
        <v>-83000</v>
      </c>
    </row>
    <row r="77" s="57" customFormat="1" ht="12.95" customHeight="1" spans="1:17">
      <c r="A77" s="69">
        <v>72</v>
      </c>
      <c r="B77" s="38" t="s">
        <v>167</v>
      </c>
      <c r="C77" s="38">
        <v>1660</v>
      </c>
      <c r="D77" s="70">
        <f t="shared" si="3"/>
        <v>4290.36144578313</v>
      </c>
      <c r="E77" s="38" t="s">
        <v>168</v>
      </c>
      <c r="F77" s="71">
        <v>43832</v>
      </c>
      <c r="G77" s="70">
        <v>7122000</v>
      </c>
      <c r="H77" s="63"/>
      <c r="I77" s="63"/>
      <c r="J77" s="70">
        <f>G77*5%+5428</f>
        <v>361528</v>
      </c>
      <c r="K77" s="70">
        <v>1293300</v>
      </c>
      <c r="L77" s="70">
        <v>13920</v>
      </c>
      <c r="M77" s="70">
        <f>2778560+22520</f>
        <v>2801080</v>
      </c>
      <c r="N77" s="70">
        <v>1689000</v>
      </c>
      <c r="O77" s="70">
        <f>1584841+4598</f>
        <v>1589439</v>
      </c>
      <c r="P77" s="70">
        <f t="shared" si="4"/>
        <v>7386739</v>
      </c>
      <c r="Q77" s="70">
        <f t="shared" si="5"/>
        <v>96789</v>
      </c>
    </row>
    <row r="78" s="57" customFormat="1" ht="12.95" customHeight="1" spans="1:17">
      <c r="A78" s="69">
        <v>73</v>
      </c>
      <c r="B78" s="38" t="s">
        <v>169</v>
      </c>
      <c r="C78" s="38">
        <v>1660</v>
      </c>
      <c r="D78" s="70">
        <f t="shared" si="3"/>
        <v>3972.89156626506</v>
      </c>
      <c r="E78" s="38" t="s">
        <v>170</v>
      </c>
      <c r="F78" s="71">
        <v>44129</v>
      </c>
      <c r="G78" s="70">
        <v>6595000</v>
      </c>
      <c r="H78" s="63"/>
      <c r="I78" s="63"/>
      <c r="J78" s="70">
        <f>G78*5%+58139+25400-83000</f>
        <v>330289</v>
      </c>
      <c r="K78" s="70">
        <v>0</v>
      </c>
      <c r="L78" s="70">
        <v>474000</v>
      </c>
      <c r="M78" s="70">
        <v>2985900</v>
      </c>
      <c r="N78" s="70">
        <v>3042550</v>
      </c>
      <c r="O78" s="70">
        <v>370128</v>
      </c>
      <c r="P78" s="70">
        <f t="shared" si="4"/>
        <v>6872578</v>
      </c>
      <c r="Q78" s="70">
        <f t="shared" si="5"/>
        <v>52711</v>
      </c>
    </row>
    <row r="79" s="57" customFormat="1" ht="12.95" customHeight="1" spans="1:17">
      <c r="A79" s="69">
        <v>74</v>
      </c>
      <c r="B79" s="38" t="s">
        <v>171</v>
      </c>
      <c r="C79" s="38">
        <v>1660</v>
      </c>
      <c r="D79" s="70">
        <f t="shared" si="3"/>
        <v>4315.66265060241</v>
      </c>
      <c r="E79" s="38" t="s">
        <v>172</v>
      </c>
      <c r="F79" s="71">
        <v>43880</v>
      </c>
      <c r="G79" s="70">
        <v>7164000</v>
      </c>
      <c r="H79" s="63"/>
      <c r="I79" s="63"/>
      <c r="J79" s="70">
        <f>G79*5%+74069-166000</f>
        <v>266269</v>
      </c>
      <c r="K79" s="70">
        <v>1300000</v>
      </c>
      <c r="L79" s="70">
        <v>566000</v>
      </c>
      <c r="M79" s="70">
        <v>2266000</v>
      </c>
      <c r="N79" s="70">
        <v>2832000</v>
      </c>
      <c r="O79" s="70">
        <f>423028+43241</f>
        <v>466269</v>
      </c>
      <c r="P79" s="70">
        <f t="shared" si="4"/>
        <v>7430269</v>
      </c>
      <c r="Q79" s="70">
        <f t="shared" si="5"/>
        <v>0</v>
      </c>
    </row>
    <row r="80" s="57" customFormat="1" ht="12.95" customHeight="1" spans="1:17">
      <c r="A80" s="69">
        <v>75</v>
      </c>
      <c r="B80" s="38" t="s">
        <v>173</v>
      </c>
      <c r="C80" s="38">
        <v>1660</v>
      </c>
      <c r="D80" s="70"/>
      <c r="E80" s="38" t="s">
        <v>174</v>
      </c>
      <c r="F80" s="71">
        <v>45262</v>
      </c>
      <c r="G80" s="70">
        <v>9783000</v>
      </c>
      <c r="H80" s="63"/>
      <c r="I80" s="63"/>
      <c r="J80" s="70">
        <v>0</v>
      </c>
      <c r="K80" s="70">
        <v>0</v>
      </c>
      <c r="L80" s="70">
        <v>0</v>
      </c>
      <c r="M80" s="70">
        <v>0</v>
      </c>
      <c r="N80" s="70">
        <v>0</v>
      </c>
      <c r="O80" s="70">
        <v>3001000</v>
      </c>
      <c r="P80" s="70">
        <f t="shared" si="4"/>
        <v>3001000</v>
      </c>
      <c r="Q80" s="70">
        <f t="shared" si="5"/>
        <v>6782000</v>
      </c>
    </row>
    <row r="81" s="57" customFormat="1" ht="12.95" customHeight="1" spans="1:17">
      <c r="A81" s="69">
        <v>76</v>
      </c>
      <c r="B81" s="38" t="s">
        <v>175</v>
      </c>
      <c r="C81" s="38">
        <v>1660</v>
      </c>
      <c r="D81" s="70">
        <f t="shared" ref="D81:D142" si="6">G81/C81</f>
        <v>5114.4578313253</v>
      </c>
      <c r="E81" s="38" t="s">
        <v>176</v>
      </c>
      <c r="F81" s="71">
        <v>44763</v>
      </c>
      <c r="G81" s="70">
        <v>8490000</v>
      </c>
      <c r="H81" s="63"/>
      <c r="I81" s="63"/>
      <c r="J81" s="70">
        <v>335350</v>
      </c>
      <c r="K81" s="70">
        <v>0</v>
      </c>
      <c r="L81" s="70">
        <v>0</v>
      </c>
      <c r="M81" s="70">
        <v>0</v>
      </c>
      <c r="N81" s="70">
        <v>7003000</v>
      </c>
      <c r="O81" s="70">
        <v>1942328</v>
      </c>
      <c r="P81" s="70">
        <f t="shared" ref="P81:P94" si="7">SUM(K81:O81)</f>
        <v>8945328</v>
      </c>
      <c r="Q81" s="70">
        <f t="shared" si="5"/>
        <v>-119978</v>
      </c>
    </row>
    <row r="82" s="57" customFormat="1" ht="12.95" customHeight="1" spans="1:17">
      <c r="A82" s="69">
        <v>77</v>
      </c>
      <c r="B82" s="38" t="s">
        <v>177</v>
      </c>
      <c r="C82" s="38">
        <v>1660</v>
      </c>
      <c r="D82" s="70">
        <f t="shared" si="6"/>
        <v>4487.95180722892</v>
      </c>
      <c r="E82" s="38" t="s">
        <v>178</v>
      </c>
      <c r="F82" s="71">
        <v>44580</v>
      </c>
      <c r="G82" s="70">
        <v>7450000</v>
      </c>
      <c r="H82" s="63"/>
      <c r="I82" s="63"/>
      <c r="J82" s="70">
        <v>568451</v>
      </c>
      <c r="K82" s="70">
        <v>0</v>
      </c>
      <c r="L82" s="70">
        <v>0</v>
      </c>
      <c r="M82" s="70">
        <v>3650000</v>
      </c>
      <c r="N82" s="70">
        <v>2658392</v>
      </c>
      <c r="O82" s="70">
        <v>1710059</v>
      </c>
      <c r="P82" s="70">
        <f t="shared" si="7"/>
        <v>8018451</v>
      </c>
      <c r="Q82" s="70">
        <f t="shared" si="5"/>
        <v>0</v>
      </c>
    </row>
    <row r="83" s="57" customFormat="1" ht="12.95" customHeight="1" spans="1:17">
      <c r="A83" s="69">
        <v>78</v>
      </c>
      <c r="B83" s="38" t="s">
        <v>179</v>
      </c>
      <c r="C83" s="38">
        <v>1660</v>
      </c>
      <c r="D83" s="70">
        <f t="shared" si="6"/>
        <v>4215.06024096385</v>
      </c>
      <c r="E83" s="38" t="s">
        <v>180</v>
      </c>
      <c r="F83" s="71">
        <v>43833</v>
      </c>
      <c r="G83" s="70">
        <v>6997000</v>
      </c>
      <c r="H83" s="63"/>
      <c r="I83" s="63"/>
      <c r="J83" s="70">
        <f>G83*5%+35681+5428</f>
        <v>390959</v>
      </c>
      <c r="K83" s="70">
        <v>1300000</v>
      </c>
      <c r="L83" s="70">
        <v>483000</v>
      </c>
      <c r="M83" s="70">
        <v>2182000</v>
      </c>
      <c r="N83" s="70">
        <v>1699000</v>
      </c>
      <c r="O83" s="70">
        <v>1723959</v>
      </c>
      <c r="P83" s="70">
        <f t="shared" si="7"/>
        <v>7387959</v>
      </c>
      <c r="Q83" s="70">
        <f t="shared" si="5"/>
        <v>0</v>
      </c>
    </row>
    <row r="84" s="57" customFormat="1" ht="12.95" customHeight="1" spans="1:17">
      <c r="A84" s="69">
        <v>79</v>
      </c>
      <c r="B84" s="38" t="s">
        <v>181</v>
      </c>
      <c r="C84" s="38">
        <v>1660</v>
      </c>
      <c r="D84" s="70">
        <f t="shared" si="6"/>
        <v>5934.93975903615</v>
      </c>
      <c r="E84" s="38" t="s">
        <v>182</v>
      </c>
      <c r="F84" s="71">
        <v>45034</v>
      </c>
      <c r="G84" s="70">
        <v>9852000</v>
      </c>
      <c r="H84" s="63"/>
      <c r="I84" s="63"/>
      <c r="J84" s="70">
        <f>G84*5%+24500+900+5428+35734</f>
        <v>559162</v>
      </c>
      <c r="K84" s="70">
        <v>0</v>
      </c>
      <c r="L84" s="70">
        <v>0</v>
      </c>
      <c r="M84" s="70">
        <v>0</v>
      </c>
      <c r="N84" s="70">
        <v>0</v>
      </c>
      <c r="O84" s="70">
        <v>10411162</v>
      </c>
      <c r="P84" s="70">
        <f t="shared" si="7"/>
        <v>10411162</v>
      </c>
      <c r="Q84" s="70">
        <f t="shared" si="5"/>
        <v>0</v>
      </c>
    </row>
    <row r="85" s="57" customFormat="1" ht="12.95" customHeight="1" spans="1:17">
      <c r="A85" s="69">
        <v>80</v>
      </c>
      <c r="B85" s="38" t="s">
        <v>183</v>
      </c>
      <c r="C85" s="38">
        <v>1660</v>
      </c>
      <c r="D85" s="70">
        <f t="shared" si="6"/>
        <v>5457.8313253012</v>
      </c>
      <c r="E85" s="38" t="s">
        <v>184</v>
      </c>
      <c r="F85" s="71">
        <v>44620</v>
      </c>
      <c r="G85" s="70">
        <v>9060000</v>
      </c>
      <c r="H85" s="63"/>
      <c r="I85" s="63"/>
      <c r="J85" s="70">
        <v>544944</v>
      </c>
      <c r="K85" s="70">
        <v>0</v>
      </c>
      <c r="L85" s="70">
        <v>0</v>
      </c>
      <c r="M85" s="70">
        <v>236250</v>
      </c>
      <c r="N85" s="70">
        <v>7237190</v>
      </c>
      <c r="O85" s="70">
        <v>2131504</v>
      </c>
      <c r="P85" s="70">
        <f t="shared" si="7"/>
        <v>9604944</v>
      </c>
      <c r="Q85" s="70">
        <f t="shared" si="5"/>
        <v>0</v>
      </c>
    </row>
    <row r="86" s="57" customFormat="1" ht="12.95" customHeight="1" spans="1:17">
      <c r="A86" s="69">
        <v>81</v>
      </c>
      <c r="B86" s="38" t="s">
        <v>185</v>
      </c>
      <c r="C86" s="38">
        <v>1660</v>
      </c>
      <c r="D86" s="70">
        <f t="shared" si="6"/>
        <v>5895.18072289157</v>
      </c>
      <c r="E86" s="38" t="s">
        <v>186</v>
      </c>
      <c r="F86" s="71">
        <v>45024</v>
      </c>
      <c r="G86" s="70">
        <v>9786000</v>
      </c>
      <c r="H86" s="63"/>
      <c r="I86" s="63"/>
      <c r="J86" s="70">
        <f>G86*5%+24500+5428+900</f>
        <v>520128</v>
      </c>
      <c r="K86" s="70">
        <v>0</v>
      </c>
      <c r="L86" s="70">
        <v>0</v>
      </c>
      <c r="M86" s="70">
        <v>0</v>
      </c>
      <c r="N86" s="70">
        <v>0</v>
      </c>
      <c r="O86" s="70">
        <f>10306128</f>
        <v>10306128</v>
      </c>
      <c r="P86" s="70">
        <f t="shared" si="7"/>
        <v>10306128</v>
      </c>
      <c r="Q86" s="70">
        <f t="shared" si="5"/>
        <v>0</v>
      </c>
    </row>
    <row r="87" s="57" customFormat="1" ht="12.95" customHeight="1" spans="1:17">
      <c r="A87" s="69">
        <v>82</v>
      </c>
      <c r="B87" s="38" t="s">
        <v>187</v>
      </c>
      <c r="C87" s="38">
        <v>1660</v>
      </c>
      <c r="D87" s="70">
        <f t="shared" si="6"/>
        <v>5307.8313253012</v>
      </c>
      <c r="E87" s="38" t="s">
        <v>188</v>
      </c>
      <c r="F87" s="71">
        <v>44621</v>
      </c>
      <c r="G87" s="70">
        <v>8811000</v>
      </c>
      <c r="H87" s="63"/>
      <c r="I87" s="63"/>
      <c r="J87" s="70">
        <f>G87*5%+5428+24500+900-50000</f>
        <v>421378</v>
      </c>
      <c r="K87" s="70">
        <v>0</v>
      </c>
      <c r="L87" s="70">
        <v>0</v>
      </c>
      <c r="M87" s="70">
        <v>525000</v>
      </c>
      <c r="N87" s="70">
        <v>6675000</v>
      </c>
      <c r="O87" s="70">
        <v>2032550</v>
      </c>
      <c r="P87" s="70">
        <f t="shared" ref="P87" si="8">SUM(K87:O87)</f>
        <v>9232550</v>
      </c>
      <c r="Q87" s="70">
        <f t="shared" si="5"/>
        <v>-172</v>
      </c>
    </row>
    <row r="88" s="57" customFormat="1" ht="12.95" customHeight="1" spans="1:17">
      <c r="A88" s="69">
        <v>83</v>
      </c>
      <c r="B88" s="38" t="s">
        <v>189</v>
      </c>
      <c r="C88" s="38">
        <v>1660</v>
      </c>
      <c r="D88" s="70">
        <f t="shared" si="6"/>
        <v>5000.60240963855</v>
      </c>
      <c r="E88" s="38" t="s">
        <v>190</v>
      </c>
      <c r="F88" s="71">
        <v>44779</v>
      </c>
      <c r="G88" s="70">
        <v>8301000</v>
      </c>
      <c r="H88" s="63"/>
      <c r="I88" s="63"/>
      <c r="J88" s="70">
        <f>G88*5%+5428+24500+900</f>
        <v>445878</v>
      </c>
      <c r="K88" s="63">
        <v>0</v>
      </c>
      <c r="L88" s="70">
        <v>0</v>
      </c>
      <c r="M88" s="70">
        <v>0</v>
      </c>
      <c r="N88" s="70">
        <v>6410000</v>
      </c>
      <c r="O88" s="70">
        <v>2336878</v>
      </c>
      <c r="P88" s="70">
        <f t="shared" si="7"/>
        <v>8746878</v>
      </c>
      <c r="Q88" s="70">
        <f t="shared" si="5"/>
        <v>0</v>
      </c>
    </row>
    <row r="89" s="57" customFormat="1" ht="12.95" customHeight="1" spans="1:17">
      <c r="A89" s="69">
        <v>84</v>
      </c>
      <c r="B89" s="38" t="s">
        <v>191</v>
      </c>
      <c r="C89" s="38">
        <v>1660</v>
      </c>
      <c r="D89" s="70">
        <f t="shared" si="6"/>
        <v>4666.26506024096</v>
      </c>
      <c r="E89" s="38" t="s">
        <v>192</v>
      </c>
      <c r="F89" s="71">
        <v>44243</v>
      </c>
      <c r="G89" s="70">
        <v>7746000</v>
      </c>
      <c r="H89" s="63"/>
      <c r="I89" s="63"/>
      <c r="J89" s="76">
        <v>429338</v>
      </c>
      <c r="K89" s="63">
        <v>0</v>
      </c>
      <c r="L89" s="70">
        <f>1437000-25000</f>
        <v>1412000</v>
      </c>
      <c r="M89" s="70">
        <v>4903000</v>
      </c>
      <c r="N89" s="70">
        <v>1799300</v>
      </c>
      <c r="O89" s="70">
        <v>61038</v>
      </c>
      <c r="P89" s="70">
        <f t="shared" ref="P89" si="9">SUM(K89:O89)</f>
        <v>8175338</v>
      </c>
      <c r="Q89" s="70">
        <f t="shared" si="5"/>
        <v>0</v>
      </c>
    </row>
    <row r="90" s="57" customFormat="1" ht="12.95" customHeight="1" spans="1:17">
      <c r="A90" s="69">
        <v>85</v>
      </c>
      <c r="B90" s="38" t="s">
        <v>193</v>
      </c>
      <c r="C90" s="38">
        <v>1660</v>
      </c>
      <c r="D90" s="70">
        <f t="shared" si="6"/>
        <v>4666.26506024096</v>
      </c>
      <c r="E90" s="38" t="s">
        <v>194</v>
      </c>
      <c r="F90" s="71">
        <v>44243</v>
      </c>
      <c r="G90" s="70">
        <v>7746000</v>
      </c>
      <c r="H90" s="63"/>
      <c r="I90" s="63"/>
      <c r="J90" s="70">
        <v>429338</v>
      </c>
      <c r="K90" s="63">
        <v>0</v>
      </c>
      <c r="L90" s="70">
        <v>1412000</v>
      </c>
      <c r="M90" s="70">
        <v>4903000</v>
      </c>
      <c r="N90" s="70">
        <v>1824300</v>
      </c>
      <c r="O90" s="70">
        <v>36038</v>
      </c>
      <c r="P90" s="70">
        <f t="shared" si="7"/>
        <v>8175338</v>
      </c>
      <c r="Q90" s="70">
        <f t="shared" si="5"/>
        <v>0</v>
      </c>
    </row>
    <row r="91" s="57" customFormat="1" ht="12.95" customHeight="1" spans="1:17">
      <c r="A91" s="69">
        <v>86</v>
      </c>
      <c r="B91" s="38" t="s">
        <v>195</v>
      </c>
      <c r="C91" s="38">
        <v>1660</v>
      </c>
      <c r="D91" s="70">
        <f t="shared" si="6"/>
        <v>4877.10843373494</v>
      </c>
      <c r="E91" s="38" t="s">
        <v>196</v>
      </c>
      <c r="F91" s="71">
        <v>44312</v>
      </c>
      <c r="G91" s="70">
        <v>8096000</v>
      </c>
      <c r="H91" s="63"/>
      <c r="I91" s="63"/>
      <c r="J91" s="70">
        <v>598268</v>
      </c>
      <c r="K91" s="70">
        <v>0</v>
      </c>
      <c r="L91" s="70">
        <v>0</v>
      </c>
      <c r="M91" s="70">
        <v>4400000</v>
      </c>
      <c r="N91" s="70">
        <v>4291531</v>
      </c>
      <c r="O91" s="70">
        <v>2737</v>
      </c>
      <c r="P91" s="70">
        <f t="shared" ref="P91" si="10">SUM(K91:O91)</f>
        <v>8694268</v>
      </c>
      <c r="Q91" s="70">
        <f t="shared" si="5"/>
        <v>0</v>
      </c>
    </row>
    <row r="92" s="57" customFormat="1" ht="12.95" customHeight="1" spans="1:17">
      <c r="A92" s="69">
        <v>87</v>
      </c>
      <c r="B92" s="38" t="s">
        <v>197</v>
      </c>
      <c r="C92" s="38">
        <v>1660</v>
      </c>
      <c r="D92" s="70">
        <f t="shared" si="6"/>
        <v>4865.06024096385</v>
      </c>
      <c r="E92" s="38" t="s">
        <v>198</v>
      </c>
      <c r="F92" s="71">
        <v>44298</v>
      </c>
      <c r="G92" s="70">
        <v>8076000</v>
      </c>
      <c r="H92" s="63"/>
      <c r="I92" s="63"/>
      <c r="J92" s="70">
        <f>G92*5%+80474-83000</f>
        <v>401274</v>
      </c>
      <c r="K92" s="70">
        <v>0</v>
      </c>
      <c r="L92" s="70">
        <v>0</v>
      </c>
      <c r="M92" s="70">
        <v>4640000</v>
      </c>
      <c r="N92" s="70">
        <v>3236000</v>
      </c>
      <c r="O92" s="70">
        <f>551628+49464</f>
        <v>601092</v>
      </c>
      <c r="P92" s="70">
        <f t="shared" si="7"/>
        <v>8477092</v>
      </c>
      <c r="Q92" s="70">
        <f t="shared" si="5"/>
        <v>182</v>
      </c>
    </row>
    <row r="93" s="57" customFormat="1" ht="12.95" customHeight="1" spans="1:17">
      <c r="A93" s="69">
        <v>88</v>
      </c>
      <c r="B93" s="38" t="s">
        <v>199</v>
      </c>
      <c r="C93" s="38">
        <v>1660</v>
      </c>
      <c r="D93" s="70">
        <f t="shared" si="6"/>
        <v>5356.6265060241</v>
      </c>
      <c r="E93" s="38" t="s">
        <v>200</v>
      </c>
      <c r="F93" s="71">
        <v>44587</v>
      </c>
      <c r="G93" s="70">
        <v>8892000</v>
      </c>
      <c r="H93" s="63"/>
      <c r="I93" s="63"/>
      <c r="J93" s="70">
        <v>435428</v>
      </c>
      <c r="K93" s="70">
        <v>0</v>
      </c>
      <c r="L93" s="70">
        <v>0</v>
      </c>
      <c r="M93" s="70">
        <v>5125000</v>
      </c>
      <c r="N93" s="70">
        <v>4202428</v>
      </c>
      <c r="O93" s="70">
        <v>0</v>
      </c>
      <c r="P93" s="70">
        <f t="shared" ref="P93" si="11">SUM(K93:O93)</f>
        <v>9327428</v>
      </c>
      <c r="Q93" s="70">
        <f t="shared" si="5"/>
        <v>0</v>
      </c>
    </row>
    <row r="94" s="57" customFormat="1" ht="12.95" customHeight="1" spans="1:17">
      <c r="A94" s="69">
        <v>89</v>
      </c>
      <c r="B94" s="38" t="s">
        <v>201</v>
      </c>
      <c r="C94" s="38">
        <v>1660</v>
      </c>
      <c r="D94" s="70">
        <f t="shared" si="6"/>
        <v>3862.65060240964</v>
      </c>
      <c r="E94" s="38" t="s">
        <v>202</v>
      </c>
      <c r="F94" s="71">
        <v>44251</v>
      </c>
      <c r="G94" s="70">
        <v>6412000</v>
      </c>
      <c r="H94" s="63"/>
      <c r="I94" s="63"/>
      <c r="J94" s="70">
        <f>189858+161570</f>
        <v>351428</v>
      </c>
      <c r="K94" s="63">
        <v>0</v>
      </c>
      <c r="L94" s="70">
        <v>25000</v>
      </c>
      <c r="M94" s="70">
        <v>4927000</v>
      </c>
      <c r="N94" s="70">
        <v>1811428</v>
      </c>
      <c r="O94" s="70">
        <v>0</v>
      </c>
      <c r="P94" s="70">
        <f t="shared" si="7"/>
        <v>6763428</v>
      </c>
      <c r="Q94" s="70">
        <f t="shared" si="5"/>
        <v>0</v>
      </c>
    </row>
    <row r="95" s="57" customFormat="1" ht="12.95" customHeight="1" spans="1:17">
      <c r="A95" s="69">
        <v>90</v>
      </c>
      <c r="B95" s="38" t="s">
        <v>203</v>
      </c>
      <c r="C95" s="38">
        <v>1660</v>
      </c>
      <c r="D95" s="70">
        <f t="shared" si="6"/>
        <v>4876.50602409639</v>
      </c>
      <c r="E95" s="38" t="s">
        <v>204</v>
      </c>
      <c r="F95" s="71">
        <v>44979</v>
      </c>
      <c r="G95" s="70">
        <v>8095000</v>
      </c>
      <c r="H95" s="63"/>
      <c r="I95" s="63"/>
      <c r="J95" s="70">
        <f>G95*5%+5428+900+24500</f>
        <v>435578</v>
      </c>
      <c r="K95" s="63"/>
      <c r="L95" s="70"/>
      <c r="M95" s="70"/>
      <c r="N95" s="70">
        <v>1425000</v>
      </c>
      <c r="O95" s="70">
        <v>7105750</v>
      </c>
      <c r="P95" s="70">
        <f t="shared" ref="P95:P107" si="12">SUM(K95:O95)</f>
        <v>8530750</v>
      </c>
      <c r="Q95" s="70">
        <f t="shared" si="5"/>
        <v>-172</v>
      </c>
    </row>
    <row r="96" s="57" customFormat="1" ht="12.95" customHeight="1" spans="1:17">
      <c r="A96" s="69">
        <v>91</v>
      </c>
      <c r="B96" s="38" t="s">
        <v>205</v>
      </c>
      <c r="C96" s="38">
        <v>1660</v>
      </c>
      <c r="D96" s="70">
        <f t="shared" si="6"/>
        <v>4915.06024096385</v>
      </c>
      <c r="E96" s="38" t="s">
        <v>206</v>
      </c>
      <c r="F96" s="71">
        <v>44439</v>
      </c>
      <c r="G96" s="70">
        <v>8159000</v>
      </c>
      <c r="H96" s="63"/>
      <c r="I96" s="63"/>
      <c r="J96" s="70">
        <v>394268</v>
      </c>
      <c r="K96" s="63">
        <v>0</v>
      </c>
      <c r="L96" s="70">
        <v>0</v>
      </c>
      <c r="M96" s="70">
        <v>4700000</v>
      </c>
      <c r="N96" s="70">
        <v>3813778</v>
      </c>
      <c r="O96" s="70">
        <v>38490</v>
      </c>
      <c r="P96" s="70">
        <f t="shared" si="12"/>
        <v>8552268</v>
      </c>
      <c r="Q96" s="70">
        <f t="shared" si="5"/>
        <v>1000</v>
      </c>
    </row>
    <row r="97" s="57" customFormat="1" ht="12.95" customHeight="1" spans="1:17">
      <c r="A97" s="69">
        <v>92</v>
      </c>
      <c r="B97" s="38" t="s">
        <v>207</v>
      </c>
      <c r="C97" s="38">
        <v>1660</v>
      </c>
      <c r="D97" s="70">
        <f t="shared" si="6"/>
        <v>4765.06024096385</v>
      </c>
      <c r="E97" s="38" t="s">
        <v>208</v>
      </c>
      <c r="F97" s="71">
        <v>44231</v>
      </c>
      <c r="G97" s="70">
        <v>7910000</v>
      </c>
      <c r="H97" s="63"/>
      <c r="I97" s="63"/>
      <c r="J97" s="70">
        <f>G97*5%+900+5428+24500</f>
        <v>426328</v>
      </c>
      <c r="K97" s="63">
        <v>0</v>
      </c>
      <c r="L97" s="70">
        <v>1480500</v>
      </c>
      <c r="M97" s="70">
        <v>3150000</v>
      </c>
      <c r="N97" s="70">
        <v>2624794</v>
      </c>
      <c r="O97" s="70">
        <v>1081034</v>
      </c>
      <c r="P97" s="70">
        <f t="shared" si="12"/>
        <v>8336328</v>
      </c>
      <c r="Q97" s="70">
        <f t="shared" si="5"/>
        <v>0</v>
      </c>
    </row>
    <row r="98" s="57" customFormat="1" ht="12.95" customHeight="1" spans="1:17">
      <c r="A98" s="69">
        <v>93</v>
      </c>
      <c r="B98" s="38" t="s">
        <v>209</v>
      </c>
      <c r="C98" s="38">
        <v>1660</v>
      </c>
      <c r="D98" s="70">
        <f t="shared" si="6"/>
        <v>5237.95180722892</v>
      </c>
      <c r="E98" s="38" t="s">
        <v>210</v>
      </c>
      <c r="F98" s="71">
        <v>44545</v>
      </c>
      <c r="G98" s="70">
        <v>8695000</v>
      </c>
      <c r="H98" s="63"/>
      <c r="I98" s="63"/>
      <c r="J98" s="70">
        <f>756398+4180</f>
        <v>760578</v>
      </c>
      <c r="K98" s="63">
        <v>0</v>
      </c>
      <c r="L98" s="70">
        <v>0</v>
      </c>
      <c r="M98" s="70">
        <v>5652000</v>
      </c>
      <c r="N98" s="70">
        <v>3803578</v>
      </c>
      <c r="O98" s="70">
        <v>0</v>
      </c>
      <c r="P98" s="70">
        <f t="shared" si="12"/>
        <v>9455578</v>
      </c>
      <c r="Q98" s="70">
        <f t="shared" si="5"/>
        <v>0</v>
      </c>
    </row>
    <row r="99" s="57" customFormat="1" ht="12.95" customHeight="1" spans="1:17">
      <c r="A99" s="69">
        <v>94</v>
      </c>
      <c r="B99" s="38" t="s">
        <v>211</v>
      </c>
      <c r="C99" s="38">
        <v>1660</v>
      </c>
      <c r="D99" s="70">
        <f t="shared" si="6"/>
        <v>5665.06024096385</v>
      </c>
      <c r="E99" s="38" t="s">
        <v>212</v>
      </c>
      <c r="F99" s="71">
        <v>44709</v>
      </c>
      <c r="G99" s="70">
        <v>9404000</v>
      </c>
      <c r="H99" s="63"/>
      <c r="I99" s="63"/>
      <c r="J99" s="70">
        <v>606432</v>
      </c>
      <c r="K99" s="63">
        <v>0</v>
      </c>
      <c r="L99" s="70">
        <v>0</v>
      </c>
      <c r="M99" s="70">
        <v>0</v>
      </c>
      <c r="N99" s="70">
        <v>9992200</v>
      </c>
      <c r="O99" s="70">
        <v>18232</v>
      </c>
      <c r="P99" s="70">
        <f t="shared" si="12"/>
        <v>10010432</v>
      </c>
      <c r="Q99" s="70">
        <f t="shared" si="5"/>
        <v>0</v>
      </c>
    </row>
    <row r="100" s="57" customFormat="1" ht="12.95" customHeight="1" spans="1:17">
      <c r="A100" s="69">
        <v>95</v>
      </c>
      <c r="B100" s="38" t="s">
        <v>213</v>
      </c>
      <c r="C100" s="38">
        <v>1660</v>
      </c>
      <c r="D100" s="70">
        <f t="shared" si="6"/>
        <v>4766.26506024096</v>
      </c>
      <c r="E100" s="38" t="s">
        <v>214</v>
      </c>
      <c r="F100" s="71">
        <v>44231</v>
      </c>
      <c r="G100" s="70">
        <v>7912000</v>
      </c>
      <c r="H100" s="63"/>
      <c r="I100" s="63"/>
      <c r="J100" s="70">
        <v>385600</v>
      </c>
      <c r="K100" s="63">
        <v>0</v>
      </c>
      <c r="L100" s="70">
        <v>825000</v>
      </c>
      <c r="M100" s="70">
        <v>3737000</v>
      </c>
      <c r="N100" s="70">
        <v>2850000</v>
      </c>
      <c r="O100" s="70">
        <v>695000</v>
      </c>
      <c r="P100" s="70">
        <f t="shared" si="12"/>
        <v>8107000</v>
      </c>
      <c r="Q100" s="70">
        <f t="shared" si="5"/>
        <v>190600</v>
      </c>
    </row>
    <row r="101" s="57" customFormat="1" ht="12.95" customHeight="1" spans="1:17">
      <c r="A101" s="69">
        <v>96</v>
      </c>
      <c r="B101" s="38" t="s">
        <v>215</v>
      </c>
      <c r="C101" s="38">
        <v>1660</v>
      </c>
      <c r="D101" s="70">
        <f t="shared" si="6"/>
        <v>4190.96385542169</v>
      </c>
      <c r="E101" s="38" t="s">
        <v>216</v>
      </c>
      <c r="F101" s="71">
        <v>43845</v>
      </c>
      <c r="G101" s="70">
        <v>6957000</v>
      </c>
      <c r="H101" s="63"/>
      <c r="I101" s="63"/>
      <c r="J101" s="70">
        <f>517391+1459</f>
        <v>518850</v>
      </c>
      <c r="K101" s="70">
        <v>1293000</v>
      </c>
      <c r="L101" s="70">
        <v>0</v>
      </c>
      <c r="M101" s="70">
        <v>2744000</v>
      </c>
      <c r="N101" s="70">
        <v>2446000</v>
      </c>
      <c r="O101" s="70">
        <f>852678+140172</f>
        <v>992850</v>
      </c>
      <c r="P101" s="70">
        <f t="shared" si="12"/>
        <v>7475850</v>
      </c>
      <c r="Q101" s="70">
        <f t="shared" si="5"/>
        <v>0</v>
      </c>
    </row>
    <row r="102" s="57" customFormat="1" ht="12.95" customHeight="1" spans="1:17">
      <c r="A102" s="69">
        <v>97</v>
      </c>
      <c r="B102" s="38" t="s">
        <v>217</v>
      </c>
      <c r="C102" s="38">
        <v>1660</v>
      </c>
      <c r="D102" s="70">
        <f t="shared" si="6"/>
        <v>4666.26506024096</v>
      </c>
      <c r="E102" s="38" t="s">
        <v>218</v>
      </c>
      <c r="F102" s="71">
        <v>44235</v>
      </c>
      <c r="G102" s="70">
        <v>7746000</v>
      </c>
      <c r="H102" s="63"/>
      <c r="I102" s="63"/>
      <c r="J102" s="70">
        <f>G102*5%+5428+900+24500</f>
        <v>418128</v>
      </c>
      <c r="K102" s="63">
        <v>0</v>
      </c>
      <c r="L102" s="70">
        <v>1225000</v>
      </c>
      <c r="M102" s="70">
        <v>3242000</v>
      </c>
      <c r="N102" s="70">
        <v>1848000</v>
      </c>
      <c r="O102" s="70">
        <v>1849128</v>
      </c>
      <c r="P102" s="70">
        <f t="shared" si="12"/>
        <v>8164128</v>
      </c>
      <c r="Q102" s="70">
        <f t="shared" si="5"/>
        <v>0</v>
      </c>
    </row>
    <row r="103" s="57" customFormat="1" ht="12.95" customHeight="1" spans="1:17">
      <c r="A103" s="69">
        <v>98</v>
      </c>
      <c r="B103" s="38" t="s">
        <v>219</v>
      </c>
      <c r="C103" s="38">
        <v>1660</v>
      </c>
      <c r="D103" s="70">
        <f t="shared" si="6"/>
        <v>3943.3734939759</v>
      </c>
      <c r="E103" s="38" t="s">
        <v>220</v>
      </c>
      <c r="F103" s="71">
        <v>44240</v>
      </c>
      <c r="G103" s="70">
        <v>6546000</v>
      </c>
      <c r="H103" s="63"/>
      <c r="I103" s="63"/>
      <c r="J103" s="70">
        <v>414833</v>
      </c>
      <c r="K103" s="63">
        <v>0</v>
      </c>
      <c r="L103" s="70">
        <v>312000</v>
      </c>
      <c r="M103" s="70">
        <v>2967000</v>
      </c>
      <c r="N103" s="70">
        <v>3609305</v>
      </c>
      <c r="O103" s="70">
        <v>72528</v>
      </c>
      <c r="P103" s="70">
        <f t="shared" si="12"/>
        <v>6960833</v>
      </c>
      <c r="Q103" s="70">
        <f t="shared" si="5"/>
        <v>0</v>
      </c>
    </row>
    <row r="104" s="57" customFormat="1" ht="12.95" customHeight="1" spans="1:17">
      <c r="A104" s="69">
        <v>99</v>
      </c>
      <c r="B104" s="38" t="s">
        <v>221</v>
      </c>
      <c r="C104" s="38">
        <v>1660</v>
      </c>
      <c r="D104" s="70">
        <f t="shared" si="6"/>
        <v>5527.10843373494</v>
      </c>
      <c r="E104" s="38" t="s">
        <v>222</v>
      </c>
      <c r="F104" s="71">
        <v>44708</v>
      </c>
      <c r="G104" s="70">
        <v>9175000</v>
      </c>
      <c r="H104" s="63"/>
      <c r="I104" s="63"/>
      <c r="J104" s="70">
        <v>555297</v>
      </c>
      <c r="K104" s="63">
        <v>0</v>
      </c>
      <c r="L104" s="70">
        <v>0</v>
      </c>
      <c r="M104" s="70">
        <v>0</v>
      </c>
      <c r="N104" s="70">
        <v>9633750</v>
      </c>
      <c r="O104" s="70">
        <v>91615</v>
      </c>
      <c r="P104" s="70">
        <f t="shared" si="12"/>
        <v>9725365</v>
      </c>
      <c r="Q104" s="70">
        <f t="shared" si="5"/>
        <v>4932</v>
      </c>
    </row>
    <row r="105" s="57" customFormat="1" ht="12.95" customHeight="1" spans="1:17">
      <c r="A105" s="69">
        <v>100</v>
      </c>
      <c r="B105" s="38" t="s">
        <v>223</v>
      </c>
      <c r="C105" s="38">
        <v>1660</v>
      </c>
      <c r="D105" s="70">
        <f t="shared" si="6"/>
        <v>4473.49397590361</v>
      </c>
      <c r="E105" s="38" t="s">
        <v>224</v>
      </c>
      <c r="F105" s="71">
        <v>44297</v>
      </c>
      <c r="G105" s="70">
        <v>7426000</v>
      </c>
      <c r="H105" s="63"/>
      <c r="I105" s="63"/>
      <c r="J105" s="70">
        <v>949968</v>
      </c>
      <c r="K105" s="63">
        <v>0</v>
      </c>
      <c r="L105" s="70">
        <v>0</v>
      </c>
      <c r="M105" s="70">
        <v>2962250</v>
      </c>
      <c r="N105" s="70">
        <v>5460750</v>
      </c>
      <c r="O105" s="70">
        <v>0</v>
      </c>
      <c r="P105" s="70">
        <f t="shared" si="12"/>
        <v>8423000</v>
      </c>
      <c r="Q105" s="70">
        <f t="shared" si="5"/>
        <v>-47032</v>
      </c>
    </row>
    <row r="106" s="57" customFormat="1" ht="12.95" customHeight="1" spans="1:17">
      <c r="A106" s="69">
        <v>101</v>
      </c>
      <c r="B106" s="38" t="s">
        <v>225</v>
      </c>
      <c r="C106" s="38">
        <v>1660</v>
      </c>
      <c r="D106" s="70">
        <f t="shared" si="6"/>
        <v>4915.66265060241</v>
      </c>
      <c r="E106" s="38" t="s">
        <v>226</v>
      </c>
      <c r="F106" s="71">
        <v>44424</v>
      </c>
      <c r="G106" s="70">
        <v>8160000</v>
      </c>
      <c r="H106" s="63"/>
      <c r="I106" s="63"/>
      <c r="J106" s="70">
        <v>387616</v>
      </c>
      <c r="K106" s="63">
        <v>0</v>
      </c>
      <c r="L106" s="70">
        <v>0</v>
      </c>
      <c r="M106" s="70">
        <v>4700000</v>
      </c>
      <c r="N106" s="70">
        <v>3899000</v>
      </c>
      <c r="O106" s="70">
        <v>0</v>
      </c>
      <c r="P106" s="70">
        <f t="shared" si="12"/>
        <v>8599000</v>
      </c>
      <c r="Q106" s="70">
        <f t="shared" ref="Q106:Q122" si="13">G106+J106-P106</f>
        <v>-51384</v>
      </c>
    </row>
    <row r="107" s="57" customFormat="1" ht="12.95" customHeight="1" spans="1:17">
      <c r="A107" s="69">
        <v>102</v>
      </c>
      <c r="B107" s="38" t="s">
        <v>227</v>
      </c>
      <c r="C107" s="38">
        <v>1660</v>
      </c>
      <c r="D107" s="70">
        <f t="shared" si="6"/>
        <v>4766.26506024096</v>
      </c>
      <c r="E107" s="38" t="s">
        <v>228</v>
      </c>
      <c r="F107" s="71">
        <v>44279</v>
      </c>
      <c r="G107" s="70">
        <v>7912000</v>
      </c>
      <c r="H107" s="63"/>
      <c r="I107" s="63"/>
      <c r="J107" s="70">
        <v>394062</v>
      </c>
      <c r="K107" s="63">
        <v>0</v>
      </c>
      <c r="L107" s="70">
        <v>25000</v>
      </c>
      <c r="M107" s="70">
        <v>4540000</v>
      </c>
      <c r="N107" s="70">
        <v>3690428</v>
      </c>
      <c r="O107" s="70">
        <v>50634</v>
      </c>
      <c r="P107" s="70">
        <f t="shared" si="12"/>
        <v>8306062</v>
      </c>
      <c r="Q107" s="70">
        <f t="shared" si="13"/>
        <v>0</v>
      </c>
    </row>
    <row r="108" s="57" customFormat="1" ht="12.95" customHeight="1" spans="1:17">
      <c r="A108" s="69">
        <v>103</v>
      </c>
      <c r="B108" s="38" t="s">
        <v>229</v>
      </c>
      <c r="C108" s="38">
        <v>1660</v>
      </c>
      <c r="D108" s="70">
        <f t="shared" si="6"/>
        <v>5115.06024096385</v>
      </c>
      <c r="E108" s="38" t="s">
        <v>230</v>
      </c>
      <c r="F108" s="71">
        <v>44483</v>
      </c>
      <c r="G108" s="70">
        <v>8491000</v>
      </c>
      <c r="H108" s="63"/>
      <c r="I108" s="63"/>
      <c r="J108" s="70">
        <v>346650</v>
      </c>
      <c r="K108" s="63">
        <v>0</v>
      </c>
      <c r="L108" s="63">
        <v>0</v>
      </c>
      <c r="M108" s="70">
        <v>1575000</v>
      </c>
      <c r="N108" s="70">
        <v>4500000</v>
      </c>
      <c r="O108" s="70">
        <v>0</v>
      </c>
      <c r="P108" s="70">
        <f t="shared" ref="P108:P119" si="14">SUM(K108:O108)</f>
        <v>6075000</v>
      </c>
      <c r="Q108" s="70">
        <f t="shared" si="13"/>
        <v>2762650</v>
      </c>
    </row>
    <row r="109" s="57" customFormat="1" ht="12.95" customHeight="1" spans="1:17">
      <c r="A109" s="69">
        <v>104</v>
      </c>
      <c r="B109" s="38" t="s">
        <v>231</v>
      </c>
      <c r="C109" s="38">
        <v>1660</v>
      </c>
      <c r="D109" s="70">
        <f t="shared" si="6"/>
        <v>5616.26506024096</v>
      </c>
      <c r="E109" s="38" t="s">
        <v>232</v>
      </c>
      <c r="F109" s="71">
        <v>44707</v>
      </c>
      <c r="G109" s="70">
        <v>9323000</v>
      </c>
      <c r="H109" s="63"/>
      <c r="I109" s="63"/>
      <c r="J109" s="70">
        <v>496978</v>
      </c>
      <c r="K109" s="63">
        <v>0</v>
      </c>
      <c r="L109" s="70">
        <v>0</v>
      </c>
      <c r="M109" s="70">
        <v>0</v>
      </c>
      <c r="N109" s="70">
        <v>7723000</v>
      </c>
      <c r="O109" s="70">
        <v>2096978</v>
      </c>
      <c r="P109" s="70">
        <f t="shared" si="14"/>
        <v>9819978</v>
      </c>
      <c r="Q109" s="70">
        <f t="shared" si="13"/>
        <v>0</v>
      </c>
    </row>
    <row r="110" s="57" customFormat="1" ht="12.95" customHeight="1" spans="1:17">
      <c r="A110" s="69">
        <v>105</v>
      </c>
      <c r="B110" s="38" t="s">
        <v>233</v>
      </c>
      <c r="C110" s="38">
        <v>1660</v>
      </c>
      <c r="D110" s="70">
        <f t="shared" si="6"/>
        <v>5115.06024096385</v>
      </c>
      <c r="E110" s="38" t="s">
        <v>234</v>
      </c>
      <c r="F110" s="71">
        <v>44500</v>
      </c>
      <c r="G110" s="70">
        <v>8491000</v>
      </c>
      <c r="H110" s="63"/>
      <c r="I110" s="63"/>
      <c r="J110" s="70">
        <f>G110*5%+5428+73804-59000</f>
        <v>444782</v>
      </c>
      <c r="K110" s="70">
        <v>0</v>
      </c>
      <c r="L110" s="70">
        <v>0</v>
      </c>
      <c r="M110" s="70">
        <v>4880005</v>
      </c>
      <c r="N110" s="70">
        <v>2038000</v>
      </c>
      <c r="O110" s="70">
        <f>1969373</f>
        <v>1969373</v>
      </c>
      <c r="P110" s="70">
        <f t="shared" si="14"/>
        <v>8887378</v>
      </c>
      <c r="Q110" s="70">
        <f t="shared" si="13"/>
        <v>48404</v>
      </c>
    </row>
    <row r="111" s="57" customFormat="1" ht="12.95" customHeight="1" spans="1:17">
      <c r="A111" s="69">
        <v>106</v>
      </c>
      <c r="B111" s="38" t="s">
        <v>235</v>
      </c>
      <c r="C111" s="38">
        <v>1660</v>
      </c>
      <c r="D111" s="70">
        <f t="shared" si="6"/>
        <v>4162.65060240964</v>
      </c>
      <c r="E111" s="38" t="s">
        <v>236</v>
      </c>
      <c r="F111" s="75">
        <v>44342</v>
      </c>
      <c r="G111" s="70">
        <v>6910000</v>
      </c>
      <c r="H111" s="63"/>
      <c r="I111" s="63"/>
      <c r="J111" s="70">
        <v>376328</v>
      </c>
      <c r="K111" s="63">
        <v>0</v>
      </c>
      <c r="L111" s="70">
        <v>0</v>
      </c>
      <c r="M111" s="70">
        <v>3574000</v>
      </c>
      <c r="N111" s="70">
        <v>1882000</v>
      </c>
      <c r="O111" s="70">
        <v>1830328</v>
      </c>
      <c r="P111" s="70">
        <f t="shared" si="14"/>
        <v>7286328</v>
      </c>
      <c r="Q111" s="70">
        <f t="shared" si="13"/>
        <v>0</v>
      </c>
    </row>
    <row r="112" s="57" customFormat="1" ht="12.95" customHeight="1" spans="1:17">
      <c r="A112" s="69">
        <v>107</v>
      </c>
      <c r="B112" s="38" t="s">
        <v>237</v>
      </c>
      <c r="C112" s="38">
        <v>1660</v>
      </c>
      <c r="D112" s="70">
        <f t="shared" si="6"/>
        <v>3811.44578313253</v>
      </c>
      <c r="E112" s="38" t="s">
        <v>238</v>
      </c>
      <c r="F112" s="71">
        <v>44204</v>
      </c>
      <c r="G112" s="70">
        <v>6327000</v>
      </c>
      <c r="H112" s="63"/>
      <c r="I112" s="63"/>
      <c r="J112" s="70">
        <v>695000</v>
      </c>
      <c r="K112" s="70">
        <v>0</v>
      </c>
      <c r="L112" s="70">
        <v>225000</v>
      </c>
      <c r="M112" s="70">
        <v>2797000</v>
      </c>
      <c r="N112" s="70">
        <v>4000000</v>
      </c>
      <c r="O112" s="70">
        <v>0</v>
      </c>
      <c r="P112" s="70">
        <f t="shared" si="14"/>
        <v>7022000</v>
      </c>
      <c r="Q112" s="70">
        <f t="shared" si="13"/>
        <v>0</v>
      </c>
    </row>
    <row r="113" s="57" customFormat="1" ht="12.95" customHeight="1" spans="1:17">
      <c r="A113" s="69">
        <v>108</v>
      </c>
      <c r="B113" s="38" t="s">
        <v>239</v>
      </c>
      <c r="C113" s="38">
        <v>1660</v>
      </c>
      <c r="D113" s="70">
        <f t="shared" ref="D113:D116" si="15">G113/C113</f>
        <v>5945.78313253012</v>
      </c>
      <c r="E113" s="38" t="s">
        <v>240</v>
      </c>
      <c r="F113" s="71">
        <v>45262</v>
      </c>
      <c r="G113" s="70">
        <v>9870000</v>
      </c>
      <c r="H113" s="63"/>
      <c r="I113" s="63"/>
      <c r="J113" s="70">
        <v>208100</v>
      </c>
      <c r="K113" s="70">
        <v>0</v>
      </c>
      <c r="L113" s="70">
        <v>0</v>
      </c>
      <c r="M113" s="70">
        <v>0</v>
      </c>
      <c r="N113" s="70">
        <v>0</v>
      </c>
      <c r="O113" s="70">
        <v>4162000</v>
      </c>
      <c r="P113" s="70">
        <f t="shared" si="14"/>
        <v>4162000</v>
      </c>
      <c r="Q113" s="70">
        <f t="shared" si="13"/>
        <v>5916100</v>
      </c>
    </row>
    <row r="114" s="57" customFormat="1" ht="12.95" customHeight="1" spans="1:17">
      <c r="A114" s="69">
        <v>109</v>
      </c>
      <c r="B114" s="38" t="s">
        <v>241</v>
      </c>
      <c r="C114" s="38">
        <v>1660</v>
      </c>
      <c r="D114" s="70">
        <f t="shared" si="15"/>
        <v>4728.9156626506</v>
      </c>
      <c r="E114" s="38" t="s">
        <v>242</v>
      </c>
      <c r="F114" s="71">
        <v>45171</v>
      </c>
      <c r="G114" s="70">
        <v>7850000</v>
      </c>
      <c r="H114" s="63"/>
      <c r="I114" s="63"/>
      <c r="J114" s="70">
        <v>95600</v>
      </c>
      <c r="K114" s="70">
        <v>0</v>
      </c>
      <c r="L114" s="70">
        <v>0</v>
      </c>
      <c r="M114" s="70">
        <v>0</v>
      </c>
      <c r="N114" s="70">
        <v>0</v>
      </c>
      <c r="O114" s="70">
        <v>1912000</v>
      </c>
      <c r="P114" s="70">
        <f t="shared" si="14"/>
        <v>1912000</v>
      </c>
      <c r="Q114" s="70">
        <f t="shared" si="13"/>
        <v>6033600</v>
      </c>
    </row>
    <row r="115" s="57" customFormat="1" ht="12.95" customHeight="1" spans="1:17">
      <c r="A115" s="69">
        <v>110</v>
      </c>
      <c r="B115" s="38" t="s">
        <v>243</v>
      </c>
      <c r="C115" s="38">
        <v>1660</v>
      </c>
      <c r="D115" s="70">
        <f t="shared" si="15"/>
        <v>4770.48192771084</v>
      </c>
      <c r="E115" s="38" t="s">
        <v>244</v>
      </c>
      <c r="F115" s="71">
        <v>45176</v>
      </c>
      <c r="G115" s="70">
        <v>7919000</v>
      </c>
      <c r="H115" s="63"/>
      <c r="I115" s="63"/>
      <c r="J115" s="70">
        <v>107750</v>
      </c>
      <c r="K115" s="70">
        <v>0</v>
      </c>
      <c r="L115" s="70">
        <v>0</v>
      </c>
      <c r="M115" s="70">
        <v>0</v>
      </c>
      <c r="N115" s="70">
        <v>0</v>
      </c>
      <c r="O115" s="70">
        <v>2155000</v>
      </c>
      <c r="P115" s="70">
        <f t="shared" si="14"/>
        <v>2155000</v>
      </c>
      <c r="Q115" s="70">
        <f t="shared" si="13"/>
        <v>5871750</v>
      </c>
    </row>
    <row r="116" s="57" customFormat="1" ht="12.95" customHeight="1" spans="1:17">
      <c r="A116" s="69">
        <v>111</v>
      </c>
      <c r="B116" s="38" t="s">
        <v>245</v>
      </c>
      <c r="C116" s="38">
        <v>1660</v>
      </c>
      <c r="D116" s="70">
        <f t="shared" si="15"/>
        <v>4825.30120481928</v>
      </c>
      <c r="E116" s="38" t="s">
        <v>246</v>
      </c>
      <c r="F116" s="71">
        <v>45361</v>
      </c>
      <c r="G116" s="70">
        <v>8010000</v>
      </c>
      <c r="H116" s="63"/>
      <c r="I116" s="63"/>
      <c r="J116" s="70">
        <v>0</v>
      </c>
      <c r="K116" s="70">
        <v>0</v>
      </c>
      <c r="L116" s="70">
        <v>0</v>
      </c>
      <c r="M116" s="70">
        <v>0</v>
      </c>
      <c r="N116" s="70">
        <v>0</v>
      </c>
      <c r="O116" s="70">
        <v>251000</v>
      </c>
      <c r="P116" s="70">
        <f t="shared" si="14"/>
        <v>251000</v>
      </c>
      <c r="Q116" s="70">
        <f t="shared" si="13"/>
        <v>7759000</v>
      </c>
    </row>
    <row r="117" s="57" customFormat="1" ht="12.95" customHeight="1" spans="1:17">
      <c r="A117" s="69">
        <v>112</v>
      </c>
      <c r="B117" s="38" t="s">
        <v>247</v>
      </c>
      <c r="C117" s="38">
        <v>1660</v>
      </c>
      <c r="D117" s="70">
        <f t="shared" ref="D117:D122" si="16">G117/C117</f>
        <v>6024.09638554217</v>
      </c>
      <c r="E117" s="38" t="s">
        <v>248</v>
      </c>
      <c r="F117" s="71">
        <v>45190</v>
      </c>
      <c r="G117" s="70">
        <v>10000000</v>
      </c>
      <c r="H117" s="63"/>
      <c r="I117" s="63"/>
      <c r="J117" s="70">
        <v>0</v>
      </c>
      <c r="K117" s="70">
        <v>0</v>
      </c>
      <c r="L117" s="70">
        <v>0</v>
      </c>
      <c r="M117" s="70">
        <v>0</v>
      </c>
      <c r="N117" s="70">
        <v>0</v>
      </c>
      <c r="O117" s="70">
        <v>5200000</v>
      </c>
      <c r="P117" s="70">
        <f t="shared" ref="P117:P122" si="17">SUM(K117:O117)</f>
        <v>5200000</v>
      </c>
      <c r="Q117" s="70">
        <f t="shared" ref="Q117:Q125" si="18">G117+J117-P117</f>
        <v>4800000</v>
      </c>
    </row>
    <row r="118" s="57" customFormat="1" ht="12.95" customHeight="1" spans="1:17">
      <c r="A118" s="69">
        <v>113</v>
      </c>
      <c r="B118" s="38" t="s">
        <v>249</v>
      </c>
      <c r="C118" s="38">
        <v>1660</v>
      </c>
      <c r="D118" s="70">
        <f t="shared" si="16"/>
        <v>6054.21686746988</v>
      </c>
      <c r="E118" s="38" t="s">
        <v>250</v>
      </c>
      <c r="F118" s="71">
        <v>45336</v>
      </c>
      <c r="G118" s="70">
        <v>10050000</v>
      </c>
      <c r="H118" s="63"/>
      <c r="I118" s="63"/>
      <c r="J118" s="70">
        <v>0</v>
      </c>
      <c r="K118" s="70">
        <v>0</v>
      </c>
      <c r="L118" s="70">
        <v>0</v>
      </c>
      <c r="M118" s="70">
        <v>0</v>
      </c>
      <c r="N118" s="70">
        <v>0</v>
      </c>
      <c r="O118" s="70">
        <v>1760000</v>
      </c>
      <c r="P118" s="70">
        <f t="shared" si="17"/>
        <v>1760000</v>
      </c>
      <c r="Q118" s="70">
        <f t="shared" si="18"/>
        <v>8290000</v>
      </c>
    </row>
    <row r="119" s="57" customFormat="1" ht="12.95" customHeight="1" spans="1:17">
      <c r="A119" s="69">
        <v>114</v>
      </c>
      <c r="B119" s="38" t="s">
        <v>251</v>
      </c>
      <c r="C119" s="38">
        <v>1660</v>
      </c>
      <c r="D119" s="70">
        <f t="shared" si="16"/>
        <v>4759.03614457831</v>
      </c>
      <c r="E119" s="38" t="s">
        <v>252</v>
      </c>
      <c r="F119" s="71">
        <v>45334</v>
      </c>
      <c r="G119" s="70">
        <v>7900000</v>
      </c>
      <c r="H119" s="63"/>
      <c r="I119" s="63"/>
      <c r="J119" s="70"/>
      <c r="K119" s="70"/>
      <c r="L119" s="70"/>
      <c r="M119" s="70"/>
      <c r="N119" s="70"/>
      <c r="O119" s="70">
        <v>740000</v>
      </c>
      <c r="P119" s="70">
        <f t="shared" si="17"/>
        <v>740000</v>
      </c>
      <c r="Q119" s="70">
        <f t="shared" si="18"/>
        <v>7160000</v>
      </c>
    </row>
    <row r="120" s="57" customFormat="1" ht="12.95" customHeight="1" spans="1:17">
      <c r="A120" s="69">
        <v>115</v>
      </c>
      <c r="B120" s="38" t="s">
        <v>253</v>
      </c>
      <c r="C120" s="38">
        <v>1660</v>
      </c>
      <c r="D120" s="70">
        <f t="shared" si="16"/>
        <v>4698.79518072289</v>
      </c>
      <c r="E120" s="38" t="s">
        <v>254</v>
      </c>
      <c r="F120" s="71">
        <v>45234</v>
      </c>
      <c r="G120" s="70">
        <v>7800000</v>
      </c>
      <c r="H120" s="63"/>
      <c r="I120" s="63"/>
      <c r="J120" s="70">
        <v>0</v>
      </c>
      <c r="K120" s="70">
        <v>0</v>
      </c>
      <c r="L120" s="70">
        <v>0</v>
      </c>
      <c r="M120" s="70">
        <v>0</v>
      </c>
      <c r="N120" s="70">
        <v>0</v>
      </c>
      <c r="O120" s="70">
        <f>2187323.56</f>
        <v>2187323.56</v>
      </c>
      <c r="P120" s="70">
        <f t="shared" si="17"/>
        <v>2187323.56</v>
      </c>
      <c r="Q120" s="70">
        <f t="shared" si="18"/>
        <v>5612676.44</v>
      </c>
    </row>
    <row r="121" s="57" customFormat="1" ht="12.95" customHeight="1" spans="1:17">
      <c r="A121" s="69">
        <v>116</v>
      </c>
      <c r="B121" s="38" t="s">
        <v>255</v>
      </c>
      <c r="C121" s="38">
        <v>1660</v>
      </c>
      <c r="D121" s="70">
        <f t="shared" si="16"/>
        <v>5453.61445783133</v>
      </c>
      <c r="E121" s="38" t="s">
        <v>256</v>
      </c>
      <c r="F121" s="71">
        <v>45210</v>
      </c>
      <c r="G121" s="70">
        <v>9053000</v>
      </c>
      <c r="H121" s="63"/>
      <c r="I121" s="63"/>
      <c r="J121" s="70">
        <v>0</v>
      </c>
      <c r="K121" s="70">
        <v>0</v>
      </c>
      <c r="L121" s="70">
        <v>0</v>
      </c>
      <c r="M121" s="70">
        <v>0</v>
      </c>
      <c r="N121" s="70">
        <v>0</v>
      </c>
      <c r="O121" s="70">
        <v>3218000</v>
      </c>
      <c r="P121" s="70">
        <f t="shared" si="17"/>
        <v>3218000</v>
      </c>
      <c r="Q121" s="70">
        <f t="shared" si="18"/>
        <v>5835000</v>
      </c>
    </row>
    <row r="122" s="57" customFormat="1" ht="12.95" customHeight="1" spans="1:17">
      <c r="A122" s="69">
        <v>117</v>
      </c>
      <c r="B122" s="38" t="s">
        <v>257</v>
      </c>
      <c r="C122" s="38">
        <v>1660</v>
      </c>
      <c r="D122" s="70">
        <f t="shared" si="16"/>
        <v>4759.03614457831</v>
      </c>
      <c r="E122" s="38" t="s">
        <v>258</v>
      </c>
      <c r="F122" s="71">
        <v>45190</v>
      </c>
      <c r="G122" s="70">
        <v>7900000</v>
      </c>
      <c r="H122" s="63"/>
      <c r="I122" s="63"/>
      <c r="J122" s="70">
        <v>0</v>
      </c>
      <c r="K122" s="70">
        <v>0</v>
      </c>
      <c r="L122" s="70">
        <v>0</v>
      </c>
      <c r="M122" s="70">
        <v>0</v>
      </c>
      <c r="N122" s="70">
        <v>0</v>
      </c>
      <c r="O122" s="70">
        <v>2091425</v>
      </c>
      <c r="P122" s="70">
        <f t="shared" si="17"/>
        <v>2091425</v>
      </c>
      <c r="Q122" s="70">
        <f t="shared" si="18"/>
        <v>5808575</v>
      </c>
    </row>
    <row r="123" s="57" customFormat="1" ht="12.95" customHeight="1" spans="1:17">
      <c r="A123" s="69">
        <v>118</v>
      </c>
      <c r="B123" s="38" t="s">
        <v>259</v>
      </c>
      <c r="C123" s="38">
        <v>1360</v>
      </c>
      <c r="D123" s="70">
        <f t="shared" ref="D123:D149" si="19">G123/C123</f>
        <v>4785.29411764706</v>
      </c>
      <c r="E123" s="38" t="s">
        <v>260</v>
      </c>
      <c r="F123" s="71">
        <v>44273</v>
      </c>
      <c r="G123" s="70">
        <v>6508000</v>
      </c>
      <c r="H123" s="63"/>
      <c r="I123" s="63"/>
      <c r="J123" s="70">
        <v>331880</v>
      </c>
      <c r="K123" s="70">
        <v>0</v>
      </c>
      <c r="L123" s="70">
        <v>225000</v>
      </c>
      <c r="M123" s="70">
        <v>4966000</v>
      </c>
      <c r="N123" s="70">
        <v>1605228</v>
      </c>
      <c r="O123" s="70">
        <v>43652</v>
      </c>
      <c r="P123" s="70">
        <f t="shared" ref="P123:P154" si="20">SUM(K123:O123)</f>
        <v>6839880</v>
      </c>
      <c r="Q123" s="70">
        <f t="shared" si="18"/>
        <v>0</v>
      </c>
    </row>
    <row r="124" s="57" customFormat="1" ht="12.95" customHeight="1" spans="1:17">
      <c r="A124" s="69">
        <v>119</v>
      </c>
      <c r="B124" s="38" t="s">
        <v>261</v>
      </c>
      <c r="C124" s="38">
        <v>1360</v>
      </c>
      <c r="D124" s="70">
        <f t="shared" si="19"/>
        <v>3650</v>
      </c>
      <c r="E124" s="38" t="s">
        <v>262</v>
      </c>
      <c r="F124" s="71">
        <v>44048</v>
      </c>
      <c r="G124" s="70">
        <v>4964000</v>
      </c>
      <c r="H124" s="63"/>
      <c r="I124" s="63"/>
      <c r="J124" s="70">
        <v>316818</v>
      </c>
      <c r="K124" s="70">
        <v>0</v>
      </c>
      <c r="L124" s="70">
        <v>3432000</v>
      </c>
      <c r="M124" s="70">
        <v>1780200</v>
      </c>
      <c r="N124" s="70">
        <v>0</v>
      </c>
      <c r="O124" s="70">
        <v>68618</v>
      </c>
      <c r="P124" s="70">
        <f t="shared" si="20"/>
        <v>5280818</v>
      </c>
      <c r="Q124" s="70">
        <f t="shared" si="18"/>
        <v>0</v>
      </c>
    </row>
    <row r="125" s="57" customFormat="1" ht="12.95" customHeight="1" spans="1:17">
      <c r="A125" s="69">
        <v>120</v>
      </c>
      <c r="B125" s="38" t="s">
        <v>263</v>
      </c>
      <c r="C125" s="38">
        <v>1360</v>
      </c>
      <c r="D125" s="70">
        <f t="shared" si="19"/>
        <v>5305.88235294118</v>
      </c>
      <c r="E125" s="38" t="s">
        <v>42</v>
      </c>
      <c r="F125" s="71">
        <v>44656</v>
      </c>
      <c r="G125" s="70">
        <v>7216000</v>
      </c>
      <c r="H125" s="63"/>
      <c r="I125" s="63"/>
      <c r="J125" s="70">
        <v>360800</v>
      </c>
      <c r="K125" s="63">
        <v>0</v>
      </c>
      <c r="L125" s="70">
        <v>0</v>
      </c>
      <c r="M125" s="70">
        <v>0</v>
      </c>
      <c r="N125" s="70">
        <f>7288160</f>
        <v>7288160</v>
      </c>
      <c r="O125" s="70">
        <v>236560</v>
      </c>
      <c r="P125" s="70">
        <f t="shared" si="20"/>
        <v>7524720</v>
      </c>
      <c r="Q125" s="70">
        <f t="shared" si="18"/>
        <v>52080</v>
      </c>
    </row>
    <row r="126" s="57" customFormat="1" ht="12.95" customHeight="1" spans="1:17">
      <c r="A126" s="69">
        <v>121</v>
      </c>
      <c r="B126" s="38" t="s">
        <v>264</v>
      </c>
      <c r="C126" s="38">
        <v>1360</v>
      </c>
      <c r="D126" s="70">
        <f t="shared" si="19"/>
        <v>4183.82352941176</v>
      </c>
      <c r="E126" s="38" t="s">
        <v>265</v>
      </c>
      <c r="F126" s="71">
        <v>44079</v>
      </c>
      <c r="G126" s="70">
        <v>5690000</v>
      </c>
      <c r="H126" s="63"/>
      <c r="I126" s="63"/>
      <c r="J126" s="70">
        <v>338159</v>
      </c>
      <c r="K126" s="70">
        <v>0</v>
      </c>
      <c r="L126" s="70">
        <v>1574400</v>
      </c>
      <c r="M126" s="70">
        <v>2473000</v>
      </c>
      <c r="N126" s="70">
        <v>1947600</v>
      </c>
      <c r="O126" s="70">
        <v>33159</v>
      </c>
      <c r="P126" s="70">
        <f t="shared" si="20"/>
        <v>6028159</v>
      </c>
      <c r="Q126" s="70">
        <f t="shared" ref="Q123:Q153" si="21">G126+J126-P126</f>
        <v>0</v>
      </c>
    </row>
    <row r="127" s="57" customFormat="1" ht="12.95" customHeight="1" spans="1:17">
      <c r="A127" s="69">
        <v>122</v>
      </c>
      <c r="B127" s="38" t="s">
        <v>266</v>
      </c>
      <c r="C127" s="38">
        <v>1360</v>
      </c>
      <c r="D127" s="70">
        <f t="shared" si="19"/>
        <v>4385.29411764706</v>
      </c>
      <c r="E127" s="38" t="s">
        <v>267</v>
      </c>
      <c r="F127" s="71">
        <v>43890</v>
      </c>
      <c r="G127" s="70">
        <v>5964000</v>
      </c>
      <c r="H127" s="63"/>
      <c r="I127" s="63"/>
      <c r="J127" s="70">
        <v>298200</v>
      </c>
      <c r="K127" s="70">
        <v>225000</v>
      </c>
      <c r="L127" s="70">
        <v>895000</v>
      </c>
      <c r="M127" s="70">
        <v>1564000</v>
      </c>
      <c r="N127" s="70">
        <v>3530000</v>
      </c>
      <c r="O127" s="70">
        <v>79028</v>
      </c>
      <c r="P127" s="70">
        <f t="shared" si="20"/>
        <v>6293028</v>
      </c>
      <c r="Q127" s="70">
        <f t="shared" si="21"/>
        <v>-30828</v>
      </c>
    </row>
    <row r="128" s="57" customFormat="1" ht="12.95" customHeight="1" spans="1:17">
      <c r="A128" s="69">
        <v>123</v>
      </c>
      <c r="B128" s="38" t="s">
        <v>268</v>
      </c>
      <c r="C128" s="38">
        <v>1360</v>
      </c>
      <c r="D128" s="70">
        <f t="shared" si="19"/>
        <v>4435.29411764706</v>
      </c>
      <c r="E128" s="38" t="s">
        <v>269</v>
      </c>
      <c r="F128" s="71">
        <v>43895</v>
      </c>
      <c r="G128" s="70">
        <v>6032000</v>
      </c>
      <c r="H128" s="63"/>
      <c r="I128" s="63"/>
      <c r="J128" s="70">
        <v>372914</v>
      </c>
      <c r="K128" s="70">
        <v>0</v>
      </c>
      <c r="L128" s="70">
        <v>900000</v>
      </c>
      <c r="M128" s="70">
        <v>3766000</v>
      </c>
      <c r="N128" s="70">
        <v>1698428</v>
      </c>
      <c r="O128" s="70">
        <v>40486</v>
      </c>
      <c r="P128" s="70">
        <f t="shared" si="20"/>
        <v>6404914</v>
      </c>
      <c r="Q128" s="70">
        <f t="shared" si="21"/>
        <v>0</v>
      </c>
    </row>
    <row r="129" s="57" customFormat="1" ht="12.95" customHeight="1" spans="1:17">
      <c r="A129" s="69">
        <v>124</v>
      </c>
      <c r="B129" s="38" t="s">
        <v>270</v>
      </c>
      <c r="C129" s="38">
        <v>1360</v>
      </c>
      <c r="D129" s="70">
        <f t="shared" si="19"/>
        <v>4330.88235294118</v>
      </c>
      <c r="E129" s="38" t="s">
        <v>271</v>
      </c>
      <c r="F129" s="71">
        <v>43887</v>
      </c>
      <c r="G129" s="70">
        <v>5890000</v>
      </c>
      <c r="H129" s="63"/>
      <c r="I129" s="63"/>
      <c r="J129" s="70">
        <v>575328</v>
      </c>
      <c r="K129" s="70">
        <v>225000</v>
      </c>
      <c r="L129" s="70">
        <v>900000</v>
      </c>
      <c r="M129" s="70">
        <v>4000000</v>
      </c>
      <c r="N129" s="70">
        <v>1340328</v>
      </c>
      <c r="O129" s="70">
        <v>0</v>
      </c>
      <c r="P129" s="70">
        <f t="shared" si="20"/>
        <v>6465328</v>
      </c>
      <c r="Q129" s="70">
        <f t="shared" si="21"/>
        <v>0</v>
      </c>
    </row>
    <row r="130" s="57" customFormat="1" ht="12.95" customHeight="1" spans="1:17">
      <c r="A130" s="69">
        <v>125</v>
      </c>
      <c r="B130" s="38" t="s">
        <v>272</v>
      </c>
      <c r="C130" s="38">
        <v>1360</v>
      </c>
      <c r="D130" s="70">
        <f t="shared" si="19"/>
        <v>4485.29411764706</v>
      </c>
      <c r="E130" s="38" t="s">
        <v>273</v>
      </c>
      <c r="F130" s="71">
        <v>44048</v>
      </c>
      <c r="G130" s="70">
        <v>6100000</v>
      </c>
      <c r="H130" s="63"/>
      <c r="I130" s="63"/>
      <c r="J130" s="70">
        <f>G130*5%+68281-136000</f>
        <v>237281</v>
      </c>
      <c r="K130" s="63">
        <v>0</v>
      </c>
      <c r="L130" s="70">
        <v>1646800</v>
      </c>
      <c r="M130" s="70">
        <v>1900000</v>
      </c>
      <c r="N130" s="70">
        <v>2608000</v>
      </c>
      <c r="O130" s="70">
        <f>145000+37481</f>
        <v>182481</v>
      </c>
      <c r="P130" s="70">
        <f t="shared" si="20"/>
        <v>6337281</v>
      </c>
      <c r="Q130" s="70">
        <f t="shared" si="21"/>
        <v>0</v>
      </c>
    </row>
    <row r="131" s="57" customFormat="1" ht="12.95" customHeight="1" spans="1:17">
      <c r="A131" s="69">
        <v>126</v>
      </c>
      <c r="B131" s="38" t="s">
        <v>274</v>
      </c>
      <c r="C131" s="38">
        <v>1360</v>
      </c>
      <c r="D131" s="70">
        <f t="shared" si="19"/>
        <v>3623.52941176471</v>
      </c>
      <c r="E131" s="38" t="s">
        <v>275</v>
      </c>
      <c r="F131" s="71">
        <v>43880</v>
      </c>
      <c r="G131" s="70">
        <v>4928000</v>
      </c>
      <c r="H131" s="63"/>
      <c r="I131" s="63"/>
      <c r="J131" s="70">
        <v>246400</v>
      </c>
      <c r="K131" s="63">
        <v>225000</v>
      </c>
      <c r="L131" s="70">
        <v>0</v>
      </c>
      <c r="M131" s="70">
        <v>2235400</v>
      </c>
      <c r="N131" s="70">
        <v>2566800</v>
      </c>
      <c r="O131" s="70">
        <v>178100</v>
      </c>
      <c r="P131" s="70">
        <f t="shared" si="20"/>
        <v>5205300</v>
      </c>
      <c r="Q131" s="70">
        <f t="shared" si="21"/>
        <v>-30900</v>
      </c>
    </row>
    <row r="132" s="57" customFormat="1" ht="12.95" customHeight="1" spans="1:17">
      <c r="A132" s="69">
        <v>127</v>
      </c>
      <c r="B132" s="38" t="s">
        <v>276</v>
      </c>
      <c r="C132" s="38">
        <v>1360</v>
      </c>
      <c r="D132" s="70">
        <f t="shared" si="19"/>
        <v>4435.29411764706</v>
      </c>
      <c r="E132" s="38" t="s">
        <v>277</v>
      </c>
      <c r="F132" s="71">
        <v>44110</v>
      </c>
      <c r="G132" s="70">
        <v>6032000</v>
      </c>
      <c r="H132" s="63"/>
      <c r="I132" s="63"/>
      <c r="J132" s="70">
        <v>301600</v>
      </c>
      <c r="K132" s="70">
        <v>0</v>
      </c>
      <c r="L132" s="70">
        <v>1207000</v>
      </c>
      <c r="M132" s="70"/>
      <c r="N132" s="70">
        <v>5126600</v>
      </c>
      <c r="O132" s="70">
        <v>0</v>
      </c>
      <c r="P132" s="70">
        <f t="shared" si="20"/>
        <v>6333600</v>
      </c>
      <c r="Q132" s="70">
        <f t="shared" si="21"/>
        <v>0</v>
      </c>
    </row>
    <row r="133" s="57" customFormat="1" ht="12.95" customHeight="1" spans="1:17">
      <c r="A133" s="69">
        <v>128</v>
      </c>
      <c r="B133" s="38" t="s">
        <v>278</v>
      </c>
      <c r="C133" s="38">
        <v>1360</v>
      </c>
      <c r="D133" s="70">
        <f t="shared" si="19"/>
        <v>4385.29411764706</v>
      </c>
      <c r="E133" s="38" t="s">
        <v>279</v>
      </c>
      <c r="F133" s="71">
        <v>44000</v>
      </c>
      <c r="G133" s="70">
        <v>5964000</v>
      </c>
      <c r="H133" s="63"/>
      <c r="I133" s="63"/>
      <c r="J133" s="70">
        <f>G133*5%+5428+24500+900</f>
        <v>329028</v>
      </c>
      <c r="K133" s="70">
        <v>0</v>
      </c>
      <c r="L133" s="70">
        <v>3620000</v>
      </c>
      <c r="M133" s="70">
        <v>1388000</v>
      </c>
      <c r="N133" s="70">
        <v>1284200</v>
      </c>
      <c r="O133" s="70">
        <v>828</v>
      </c>
      <c r="P133" s="70">
        <f t="shared" si="20"/>
        <v>6293028</v>
      </c>
      <c r="Q133" s="70">
        <f t="shared" si="21"/>
        <v>0</v>
      </c>
    </row>
    <row r="134" s="57" customFormat="1" ht="12.95" customHeight="1" spans="1:17">
      <c r="A134" s="69">
        <v>129</v>
      </c>
      <c r="B134" s="38" t="s">
        <v>280</v>
      </c>
      <c r="C134" s="38">
        <v>1360</v>
      </c>
      <c r="D134" s="70">
        <f t="shared" si="19"/>
        <v>4385.29411764706</v>
      </c>
      <c r="E134" s="38" t="s">
        <v>281</v>
      </c>
      <c r="F134" s="71">
        <v>44000</v>
      </c>
      <c r="G134" s="70">
        <v>5964000</v>
      </c>
      <c r="H134" s="63"/>
      <c r="I134" s="63"/>
      <c r="J134" s="70">
        <v>327087</v>
      </c>
      <c r="K134" s="70">
        <v>0</v>
      </c>
      <c r="L134" s="70">
        <v>1120000</v>
      </c>
      <c r="M134" s="70">
        <v>2322000</v>
      </c>
      <c r="N134" s="70">
        <v>2826528</v>
      </c>
      <c r="O134" s="70">
        <v>22559</v>
      </c>
      <c r="P134" s="70">
        <f t="shared" si="20"/>
        <v>6291087</v>
      </c>
      <c r="Q134" s="70">
        <f t="shared" si="21"/>
        <v>0</v>
      </c>
    </row>
    <row r="135" s="57" customFormat="1" ht="12.95" customHeight="1" spans="1:17">
      <c r="A135" s="69">
        <v>130</v>
      </c>
      <c r="B135" s="38" t="s">
        <v>282</v>
      </c>
      <c r="C135" s="38">
        <v>1360</v>
      </c>
      <c r="D135" s="70">
        <f t="shared" si="19"/>
        <v>3647.79411764706</v>
      </c>
      <c r="E135" s="38" t="s">
        <v>283</v>
      </c>
      <c r="F135" s="71">
        <v>43869</v>
      </c>
      <c r="G135" s="70">
        <v>4961000</v>
      </c>
      <c r="H135" s="63"/>
      <c r="I135" s="63"/>
      <c r="J135" s="70">
        <f>238050+5428+10000</f>
        <v>253478</v>
      </c>
      <c r="K135" s="70">
        <v>235000</v>
      </c>
      <c r="L135" s="70">
        <v>0</v>
      </c>
      <c r="M135" s="70">
        <v>2186000</v>
      </c>
      <c r="N135" s="70">
        <v>2018516</v>
      </c>
      <c r="O135" s="70">
        <v>769534</v>
      </c>
      <c r="P135" s="70">
        <f t="shared" si="20"/>
        <v>5209050</v>
      </c>
      <c r="Q135" s="70">
        <f t="shared" si="21"/>
        <v>5428</v>
      </c>
    </row>
    <row r="136" s="57" customFormat="1" ht="12.95" customHeight="1" spans="1:17">
      <c r="A136" s="69">
        <v>131</v>
      </c>
      <c r="B136" s="38" t="s">
        <v>284</v>
      </c>
      <c r="C136" s="38">
        <v>1360</v>
      </c>
      <c r="D136" s="70">
        <f t="shared" si="19"/>
        <v>5805.88235294118</v>
      </c>
      <c r="E136" s="38" t="s">
        <v>285</v>
      </c>
      <c r="F136" s="71">
        <v>44804</v>
      </c>
      <c r="G136" s="70">
        <v>7896000</v>
      </c>
      <c r="H136" s="63"/>
      <c r="I136" s="63"/>
      <c r="J136" s="70">
        <v>475928</v>
      </c>
      <c r="K136" s="70">
        <v>0</v>
      </c>
      <c r="L136" s="70">
        <v>0</v>
      </c>
      <c r="M136" s="70">
        <v>0</v>
      </c>
      <c r="N136" s="70">
        <v>8320800</v>
      </c>
      <c r="O136" s="70">
        <v>51128</v>
      </c>
      <c r="P136" s="70">
        <f t="shared" si="20"/>
        <v>8371928</v>
      </c>
      <c r="Q136" s="70">
        <f t="shared" si="21"/>
        <v>0</v>
      </c>
    </row>
    <row r="137" s="57" customFormat="1" ht="12.95" customHeight="1" spans="1:17">
      <c r="A137" s="69">
        <v>132</v>
      </c>
      <c r="B137" s="38" t="s">
        <v>286</v>
      </c>
      <c r="C137" s="38">
        <v>1360</v>
      </c>
      <c r="D137" s="70">
        <f t="shared" si="19"/>
        <v>4264.70588235294</v>
      </c>
      <c r="E137" s="38" t="s">
        <v>287</v>
      </c>
      <c r="F137" s="71">
        <v>44079</v>
      </c>
      <c r="G137" s="70">
        <v>5800000</v>
      </c>
      <c r="H137" s="63"/>
      <c r="I137" s="63"/>
      <c r="J137" s="70">
        <v>359998</v>
      </c>
      <c r="K137" s="70">
        <v>0</v>
      </c>
      <c r="L137" s="70">
        <v>1938500</v>
      </c>
      <c r="M137" s="70">
        <v>1698500</v>
      </c>
      <c r="N137" s="70">
        <v>2483828</v>
      </c>
      <c r="O137" s="70">
        <v>39170</v>
      </c>
      <c r="P137" s="70">
        <f t="shared" si="20"/>
        <v>6159998</v>
      </c>
      <c r="Q137" s="70">
        <f t="shared" si="21"/>
        <v>0</v>
      </c>
    </row>
    <row r="138" s="57" customFormat="1" ht="12.95" customHeight="1" spans="1:17">
      <c r="A138" s="69">
        <v>133</v>
      </c>
      <c r="B138" s="38" t="s">
        <v>288</v>
      </c>
      <c r="C138" s="38">
        <v>1360</v>
      </c>
      <c r="D138" s="70">
        <f t="shared" si="19"/>
        <v>4200</v>
      </c>
      <c r="E138" s="38" t="s">
        <v>289</v>
      </c>
      <c r="F138" s="71">
        <v>44426</v>
      </c>
      <c r="G138" s="70">
        <v>5712000</v>
      </c>
      <c r="H138" s="63"/>
      <c r="I138" s="63"/>
      <c r="J138" s="70">
        <v>248428</v>
      </c>
      <c r="K138" s="70">
        <v>0</v>
      </c>
      <c r="L138" s="70">
        <v>0</v>
      </c>
      <c r="M138" s="70">
        <v>3167600</v>
      </c>
      <c r="N138" s="70">
        <v>2732031</v>
      </c>
      <c r="O138" s="70">
        <v>60797</v>
      </c>
      <c r="P138" s="70">
        <f t="shared" si="20"/>
        <v>5960428</v>
      </c>
      <c r="Q138" s="70">
        <f t="shared" si="21"/>
        <v>0</v>
      </c>
    </row>
    <row r="139" s="57" customFormat="1" ht="12.95" customHeight="1" spans="1:17">
      <c r="A139" s="69">
        <v>134</v>
      </c>
      <c r="B139" s="38" t="s">
        <v>290</v>
      </c>
      <c r="C139" s="38">
        <v>1360</v>
      </c>
      <c r="D139" s="70">
        <f t="shared" si="19"/>
        <v>4936.02941176471</v>
      </c>
      <c r="E139" s="38" t="s">
        <v>291</v>
      </c>
      <c r="F139" s="71">
        <v>44421</v>
      </c>
      <c r="G139" s="70">
        <v>6713000</v>
      </c>
      <c r="H139" s="63"/>
      <c r="I139" s="63"/>
      <c r="J139" s="70">
        <v>267650</v>
      </c>
      <c r="K139" s="70">
        <v>0</v>
      </c>
      <c r="L139" s="70">
        <v>0</v>
      </c>
      <c r="M139" s="70">
        <v>3872000</v>
      </c>
      <c r="N139" s="70">
        <v>3108650</v>
      </c>
      <c r="O139" s="70">
        <v>0</v>
      </c>
      <c r="P139" s="70">
        <f t="shared" si="20"/>
        <v>6980650</v>
      </c>
      <c r="Q139" s="70">
        <f t="shared" si="21"/>
        <v>0</v>
      </c>
    </row>
    <row r="140" s="57" customFormat="1" ht="12.95" customHeight="1" spans="1:17">
      <c r="A140" s="69">
        <v>135</v>
      </c>
      <c r="B140" s="38" t="s">
        <v>292</v>
      </c>
      <c r="C140" s="38">
        <v>1360</v>
      </c>
      <c r="D140" s="70">
        <f t="shared" si="19"/>
        <v>6007.35294117647</v>
      </c>
      <c r="E140" s="38" t="s">
        <v>293</v>
      </c>
      <c r="F140" s="71">
        <v>45244</v>
      </c>
      <c r="G140" s="70">
        <v>8170000</v>
      </c>
      <c r="H140" s="63"/>
      <c r="I140" s="63"/>
      <c r="J140" s="70">
        <v>539489</v>
      </c>
      <c r="K140" s="70"/>
      <c r="L140" s="70"/>
      <c r="M140" s="70"/>
      <c r="N140" s="70"/>
      <c r="O140" s="70">
        <v>8709489</v>
      </c>
      <c r="P140" s="70">
        <f t="shared" si="20"/>
        <v>8709489</v>
      </c>
      <c r="Q140" s="70">
        <f t="shared" si="21"/>
        <v>0</v>
      </c>
    </row>
    <row r="141" s="57" customFormat="1" ht="12.95" customHeight="1" spans="1:17">
      <c r="A141" s="69">
        <v>136</v>
      </c>
      <c r="B141" s="38" t="s">
        <v>294</v>
      </c>
      <c r="C141" s="38">
        <v>1360</v>
      </c>
      <c r="D141" s="70">
        <f t="shared" ref="D141:D143" si="22">G141/C141</f>
        <v>4297.05882352941</v>
      </c>
      <c r="E141" s="38" t="s">
        <v>295</v>
      </c>
      <c r="F141" s="71">
        <v>44410</v>
      </c>
      <c r="G141" s="70">
        <v>5844000</v>
      </c>
      <c r="H141" s="63"/>
      <c r="I141" s="63"/>
      <c r="J141" s="70">
        <v>146200</v>
      </c>
      <c r="K141" s="70">
        <v>0</v>
      </c>
      <c r="L141" s="70">
        <v>0</v>
      </c>
      <c r="M141" s="70">
        <v>225000</v>
      </c>
      <c r="N141" s="70">
        <v>1500000</v>
      </c>
      <c r="O141" s="70">
        <v>0</v>
      </c>
      <c r="P141" s="70">
        <f t="shared" ref="P141:P143" si="23">SUM(K141:O141)</f>
        <v>1725000</v>
      </c>
      <c r="Q141" s="70">
        <f t="shared" ref="Q141:Q143" si="24">G141+J141-P141</f>
        <v>4265200</v>
      </c>
    </row>
    <row r="142" s="57" customFormat="1" ht="12.95" customHeight="1" spans="1:17">
      <c r="A142" s="69">
        <v>137</v>
      </c>
      <c r="B142" s="38" t="s">
        <v>296</v>
      </c>
      <c r="C142" s="38">
        <v>1360</v>
      </c>
      <c r="D142" s="70">
        <f t="shared" si="22"/>
        <v>4834.55882352941</v>
      </c>
      <c r="E142" s="38" t="s">
        <v>297</v>
      </c>
      <c r="F142" s="71">
        <v>44193</v>
      </c>
      <c r="G142" s="70">
        <v>6575000</v>
      </c>
      <c r="H142" s="63"/>
      <c r="I142" s="63"/>
      <c r="J142" s="70">
        <f>G142*5%+68080</f>
        <v>396830</v>
      </c>
      <c r="K142" s="70">
        <v>0</v>
      </c>
      <c r="L142" s="70">
        <v>1211000</v>
      </c>
      <c r="M142" s="70">
        <v>4131000</v>
      </c>
      <c r="N142" s="70">
        <v>53420</v>
      </c>
      <c r="O142" s="70">
        <v>1576410</v>
      </c>
      <c r="P142" s="70">
        <f t="shared" si="23"/>
        <v>6971830</v>
      </c>
      <c r="Q142" s="70">
        <f t="shared" si="24"/>
        <v>0</v>
      </c>
    </row>
    <row r="143" s="57" customFormat="1" ht="12.95" customHeight="1" spans="1:17">
      <c r="A143" s="69">
        <v>138</v>
      </c>
      <c r="B143" s="38" t="s">
        <v>298</v>
      </c>
      <c r="C143" s="38">
        <v>1360</v>
      </c>
      <c r="D143" s="70">
        <f t="shared" si="22"/>
        <v>6153.67647058824</v>
      </c>
      <c r="E143" s="38" t="s">
        <v>299</v>
      </c>
      <c r="F143" s="71">
        <v>45298</v>
      </c>
      <c r="G143" s="70">
        <v>8369000</v>
      </c>
      <c r="H143" s="63"/>
      <c r="I143" s="63"/>
      <c r="J143" s="70"/>
      <c r="K143" s="70">
        <v>0</v>
      </c>
      <c r="L143" s="70">
        <v>0</v>
      </c>
      <c r="M143" s="70">
        <v>0</v>
      </c>
      <c r="N143" s="70">
        <v>0</v>
      </c>
      <c r="O143" s="70">
        <v>6825000</v>
      </c>
      <c r="P143" s="70">
        <f t="shared" si="23"/>
        <v>6825000</v>
      </c>
      <c r="Q143" s="70">
        <f t="shared" si="24"/>
        <v>1544000</v>
      </c>
    </row>
    <row r="144" s="57" customFormat="1" ht="12.95" customHeight="1" spans="1:17">
      <c r="A144" s="69">
        <v>139</v>
      </c>
      <c r="B144" s="38" t="s">
        <v>300</v>
      </c>
      <c r="C144" s="38">
        <v>1360</v>
      </c>
      <c r="D144" s="70">
        <f t="shared" ref="D144:D151" si="25">G144/C144</f>
        <v>4080.88235294118</v>
      </c>
      <c r="E144" s="38" t="s">
        <v>301</v>
      </c>
      <c r="F144" s="71">
        <v>44193</v>
      </c>
      <c r="G144" s="70">
        <v>5550000</v>
      </c>
      <c r="H144" s="63"/>
      <c r="I144" s="63"/>
      <c r="J144" s="70">
        <f>G144*5%+25400+7788</f>
        <v>310688</v>
      </c>
      <c r="K144" s="70">
        <v>0</v>
      </c>
      <c r="L144" s="70">
        <v>225000</v>
      </c>
      <c r="M144" s="70">
        <v>2551000</v>
      </c>
      <c r="N144" s="70">
        <v>2571000</v>
      </c>
      <c r="O144" s="70">
        <f>505000+8688</f>
        <v>513688</v>
      </c>
      <c r="P144" s="70">
        <f t="shared" ref="P144:P161" si="26">SUM(K144:O144)</f>
        <v>5860688</v>
      </c>
      <c r="Q144" s="70">
        <f t="shared" ref="Q144:Q161" si="27">G144+J144-P144</f>
        <v>0</v>
      </c>
    </row>
    <row r="145" s="57" customFormat="1" ht="12.95" customHeight="1" spans="1:17">
      <c r="A145" s="69">
        <v>140</v>
      </c>
      <c r="B145" s="38" t="s">
        <v>302</v>
      </c>
      <c r="C145" s="38">
        <v>1360</v>
      </c>
      <c r="D145" s="70">
        <f t="shared" si="25"/>
        <v>3802.94117647059</v>
      </c>
      <c r="E145" s="38" t="s">
        <v>303</v>
      </c>
      <c r="F145" s="71">
        <v>44270</v>
      </c>
      <c r="G145" s="70">
        <v>5172000</v>
      </c>
      <c r="H145" s="63"/>
      <c r="I145" s="63"/>
      <c r="J145" s="70">
        <f>G145*5%+56885+5428</f>
        <v>320913</v>
      </c>
      <c r="K145" s="70">
        <v>0</v>
      </c>
      <c r="L145" s="70">
        <v>200000</v>
      </c>
      <c r="M145" s="70">
        <v>2223000</v>
      </c>
      <c r="N145" s="70">
        <v>2200308</v>
      </c>
      <c r="O145" s="70">
        <f>838128+31477</f>
        <v>869605</v>
      </c>
      <c r="P145" s="70">
        <f t="shared" si="26"/>
        <v>5492913</v>
      </c>
      <c r="Q145" s="70">
        <f t="shared" si="27"/>
        <v>0</v>
      </c>
    </row>
    <row r="146" s="57" customFormat="1" ht="12.95" customHeight="1" spans="1:17">
      <c r="A146" s="69">
        <v>141</v>
      </c>
      <c r="B146" s="38" t="s">
        <v>304</v>
      </c>
      <c r="C146" s="38">
        <v>1360</v>
      </c>
      <c r="D146" s="70">
        <f t="shared" si="25"/>
        <v>3950</v>
      </c>
      <c r="E146" s="38" t="s">
        <v>305</v>
      </c>
      <c r="F146" s="71">
        <v>44203</v>
      </c>
      <c r="G146" s="70">
        <v>5372000</v>
      </c>
      <c r="H146" s="63"/>
      <c r="I146" s="63"/>
      <c r="J146" s="70">
        <v>258600</v>
      </c>
      <c r="K146" s="70">
        <v>0</v>
      </c>
      <c r="L146" s="70">
        <v>225000</v>
      </c>
      <c r="M146" s="70">
        <v>2462000</v>
      </c>
      <c r="N146" s="70">
        <v>2087200</v>
      </c>
      <c r="O146" s="70">
        <v>673028</v>
      </c>
      <c r="P146" s="70">
        <f t="shared" si="26"/>
        <v>5447228</v>
      </c>
      <c r="Q146" s="70">
        <f t="shared" si="27"/>
        <v>183372</v>
      </c>
    </row>
    <row r="147" s="57" customFormat="1" ht="12.95" customHeight="1" spans="1:17">
      <c r="A147" s="69">
        <v>142</v>
      </c>
      <c r="B147" s="38" t="s">
        <v>306</v>
      </c>
      <c r="C147" s="38">
        <v>1360</v>
      </c>
      <c r="D147" s="70">
        <f t="shared" si="25"/>
        <v>4935.29411764706</v>
      </c>
      <c r="E147" s="38" t="s">
        <v>307</v>
      </c>
      <c r="F147" s="71">
        <v>44426</v>
      </c>
      <c r="G147" s="70">
        <v>6712000</v>
      </c>
      <c r="H147" s="63"/>
      <c r="I147" s="63"/>
      <c r="J147" s="70">
        <v>325600</v>
      </c>
      <c r="K147" s="70">
        <v>0</v>
      </c>
      <c r="L147" s="70">
        <v>0</v>
      </c>
      <c r="M147" s="70">
        <v>3872000</v>
      </c>
      <c r="N147" s="70">
        <v>2237653</v>
      </c>
      <c r="O147" s="70">
        <f>962447</f>
        <v>962447</v>
      </c>
      <c r="P147" s="70">
        <f t="shared" si="26"/>
        <v>7072100</v>
      </c>
      <c r="Q147" s="70">
        <f t="shared" si="27"/>
        <v>-34500</v>
      </c>
    </row>
    <row r="148" s="57" customFormat="1" ht="12.95" customHeight="1" spans="1:17">
      <c r="A148" s="69">
        <v>143</v>
      </c>
      <c r="B148" s="38" t="s">
        <v>308</v>
      </c>
      <c r="C148" s="38">
        <v>1360</v>
      </c>
      <c r="D148" s="70">
        <f t="shared" si="25"/>
        <v>4935.29411764706</v>
      </c>
      <c r="E148" s="38" t="s">
        <v>309</v>
      </c>
      <c r="F148" s="71">
        <v>44299</v>
      </c>
      <c r="G148" s="70">
        <v>6712000</v>
      </c>
      <c r="H148" s="63"/>
      <c r="I148" s="63"/>
      <c r="J148" s="70">
        <f>G148*5%+900+5428+24500</f>
        <v>366428</v>
      </c>
      <c r="K148" s="70">
        <v>0</v>
      </c>
      <c r="L148" s="70">
        <v>0</v>
      </c>
      <c r="M148" s="70">
        <v>3712000</v>
      </c>
      <c r="N148" s="70">
        <v>2296000</v>
      </c>
      <c r="O148" s="70">
        <v>1070428</v>
      </c>
      <c r="P148" s="70">
        <f t="shared" si="26"/>
        <v>7078428</v>
      </c>
      <c r="Q148" s="70">
        <f t="shared" si="27"/>
        <v>0</v>
      </c>
    </row>
    <row r="149" s="57" customFormat="1" ht="12.95" customHeight="1" spans="1:17">
      <c r="A149" s="69">
        <v>144</v>
      </c>
      <c r="B149" s="38" t="s">
        <v>310</v>
      </c>
      <c r="C149" s="38">
        <v>1360</v>
      </c>
      <c r="D149" s="70">
        <f t="shared" si="25"/>
        <v>4686.02941176471</v>
      </c>
      <c r="E149" s="38" t="s">
        <v>311</v>
      </c>
      <c r="F149" s="71">
        <v>44193</v>
      </c>
      <c r="G149" s="70">
        <v>6373000</v>
      </c>
      <c r="H149" s="63"/>
      <c r="I149" s="63"/>
      <c r="J149" s="70">
        <f>G149*5%+5428</f>
        <v>324078</v>
      </c>
      <c r="K149" s="70">
        <v>0</v>
      </c>
      <c r="L149" s="70">
        <v>1225000</v>
      </c>
      <c r="M149" s="70">
        <v>1515000</v>
      </c>
      <c r="N149" s="70">
        <v>1800000</v>
      </c>
      <c r="O149" s="70">
        <f>2127058+55000</f>
        <v>2182058</v>
      </c>
      <c r="P149" s="70">
        <f t="shared" si="26"/>
        <v>6722058</v>
      </c>
      <c r="Q149" s="70">
        <f t="shared" si="27"/>
        <v>-24980</v>
      </c>
    </row>
    <row r="150" s="57" customFormat="1" ht="12.95" customHeight="1" spans="1:17">
      <c r="A150" s="69">
        <v>145</v>
      </c>
      <c r="B150" s="38" t="s">
        <v>312</v>
      </c>
      <c r="C150" s="38">
        <v>1360</v>
      </c>
      <c r="D150" s="70">
        <f t="shared" si="25"/>
        <v>6039.70588235294</v>
      </c>
      <c r="E150" s="38" t="s">
        <v>313</v>
      </c>
      <c r="F150" s="71">
        <v>44944</v>
      </c>
      <c r="G150" s="70">
        <v>8214000</v>
      </c>
      <c r="H150" s="63"/>
      <c r="I150" s="63"/>
      <c r="J150" s="70">
        <f>G150*5%+5428+900+24500-37500</f>
        <v>404028</v>
      </c>
      <c r="K150" s="70"/>
      <c r="L150" s="70"/>
      <c r="M150" s="70"/>
      <c r="N150" s="70">
        <v>6863000</v>
      </c>
      <c r="O150" s="70">
        <v>1761700</v>
      </c>
      <c r="P150" s="70">
        <f t="shared" si="26"/>
        <v>8624700</v>
      </c>
      <c r="Q150" s="70">
        <f t="shared" si="27"/>
        <v>-6672</v>
      </c>
    </row>
    <row r="151" s="57" customFormat="1" ht="12.95" customHeight="1" spans="1:17">
      <c r="A151" s="69">
        <v>146</v>
      </c>
      <c r="B151" s="38" t="s">
        <v>314</v>
      </c>
      <c r="C151" s="38">
        <v>1360</v>
      </c>
      <c r="D151" s="70">
        <f t="shared" si="25"/>
        <v>4686.02941176471</v>
      </c>
      <c r="E151" s="38" t="s">
        <v>315</v>
      </c>
      <c r="F151" s="71">
        <v>44193</v>
      </c>
      <c r="G151" s="70">
        <v>6373000</v>
      </c>
      <c r="H151" s="63"/>
      <c r="I151" s="63"/>
      <c r="J151" s="70">
        <f>G151*5%+30828-125636</f>
        <v>223842</v>
      </c>
      <c r="K151" s="70">
        <v>0</v>
      </c>
      <c r="L151" s="70">
        <v>1191000</v>
      </c>
      <c r="M151" s="70">
        <v>3025000</v>
      </c>
      <c r="N151" s="70">
        <v>1000000</v>
      </c>
      <c r="O151" s="70">
        <f>1087480+294000</f>
        <v>1381480</v>
      </c>
      <c r="P151" s="70">
        <f t="shared" si="26"/>
        <v>6597480</v>
      </c>
      <c r="Q151" s="70">
        <f t="shared" si="27"/>
        <v>-638</v>
      </c>
    </row>
    <row r="152" s="57" customFormat="1" ht="12.95" customHeight="1" spans="1:17">
      <c r="A152" s="69">
        <v>147</v>
      </c>
      <c r="B152" s="38" t="s">
        <v>316</v>
      </c>
      <c r="C152" s="38">
        <v>1360</v>
      </c>
      <c r="D152" s="70">
        <f t="shared" ref="D152:D179" si="28">G152/C152</f>
        <v>4980.88235294118</v>
      </c>
      <c r="E152" s="38" t="s">
        <v>317</v>
      </c>
      <c r="F152" s="71">
        <v>44429</v>
      </c>
      <c r="G152" s="70">
        <v>6774000</v>
      </c>
      <c r="H152" s="63"/>
      <c r="I152" s="63"/>
      <c r="J152" s="70">
        <f>G152*5%+5428</f>
        <v>344128</v>
      </c>
      <c r="K152" s="70">
        <v>0</v>
      </c>
      <c r="L152" s="70">
        <v>0</v>
      </c>
      <c r="M152" s="70">
        <v>3918000</v>
      </c>
      <c r="N152" s="70">
        <v>1635000</v>
      </c>
      <c r="O152" s="70">
        <v>1592000</v>
      </c>
      <c r="P152" s="70">
        <f t="shared" si="26"/>
        <v>7145000</v>
      </c>
      <c r="Q152" s="70">
        <f t="shared" si="27"/>
        <v>-26872</v>
      </c>
    </row>
    <row r="153" s="58" customFormat="1" ht="12.95" customHeight="1" spans="1:17">
      <c r="A153" s="69">
        <v>148</v>
      </c>
      <c r="B153" s="38" t="s">
        <v>318</v>
      </c>
      <c r="C153" s="38">
        <v>1360</v>
      </c>
      <c r="D153" s="70">
        <f t="shared" si="28"/>
        <v>5702.94117647059</v>
      </c>
      <c r="E153" s="38" t="s">
        <v>319</v>
      </c>
      <c r="F153" s="71">
        <v>44709</v>
      </c>
      <c r="G153" s="70">
        <v>7756000</v>
      </c>
      <c r="H153" s="63"/>
      <c r="I153" s="63"/>
      <c r="J153" s="70">
        <v>396325</v>
      </c>
      <c r="K153" s="70">
        <v>0</v>
      </c>
      <c r="L153" s="70">
        <v>0</v>
      </c>
      <c r="M153" s="70">
        <v>0</v>
      </c>
      <c r="N153" s="70">
        <v>6358000</v>
      </c>
      <c r="O153" s="70">
        <f>1785800+8525</f>
        <v>1794325</v>
      </c>
      <c r="P153" s="70">
        <f t="shared" si="26"/>
        <v>8152325</v>
      </c>
      <c r="Q153" s="70">
        <f t="shared" si="27"/>
        <v>0</v>
      </c>
    </row>
    <row r="154" s="58" customFormat="1" ht="12.95" customHeight="1" spans="1:17">
      <c r="A154" s="69">
        <v>149</v>
      </c>
      <c r="B154" s="38" t="s">
        <v>320</v>
      </c>
      <c r="C154" s="38">
        <v>1360</v>
      </c>
      <c r="D154" s="70">
        <f t="shared" si="28"/>
        <v>4736.02941176471</v>
      </c>
      <c r="E154" s="38" t="s">
        <v>321</v>
      </c>
      <c r="F154" s="71">
        <v>44171</v>
      </c>
      <c r="G154" s="70">
        <v>6441000</v>
      </c>
      <c r="H154" s="63"/>
      <c r="I154" s="63"/>
      <c r="J154" s="70">
        <f>G154*5%+5428</f>
        <v>327478</v>
      </c>
      <c r="K154" s="70">
        <v>0</v>
      </c>
      <c r="L154" s="70">
        <v>1191000</v>
      </c>
      <c r="M154" s="70">
        <v>2550000</v>
      </c>
      <c r="N154" s="70">
        <v>1300000</v>
      </c>
      <c r="O154" s="70">
        <f>1684878</f>
        <v>1684878</v>
      </c>
      <c r="P154" s="70">
        <f t="shared" si="26"/>
        <v>6725878</v>
      </c>
      <c r="Q154" s="70">
        <f t="shared" si="27"/>
        <v>42600</v>
      </c>
    </row>
    <row r="155" s="58" customFormat="1" ht="12.95" customHeight="1" spans="1:17">
      <c r="A155" s="69">
        <v>150</v>
      </c>
      <c r="B155" s="38" t="s">
        <v>322</v>
      </c>
      <c r="C155" s="38">
        <v>1360</v>
      </c>
      <c r="D155" s="70">
        <f t="shared" si="28"/>
        <v>4384.55882352941</v>
      </c>
      <c r="E155" s="38" t="s">
        <v>323</v>
      </c>
      <c r="F155" s="71">
        <v>44486</v>
      </c>
      <c r="G155" s="70">
        <v>5963000</v>
      </c>
      <c r="H155" s="63"/>
      <c r="I155" s="63"/>
      <c r="J155" s="70">
        <v>328978</v>
      </c>
      <c r="K155" s="70">
        <v>0</v>
      </c>
      <c r="L155" s="70">
        <v>0</v>
      </c>
      <c r="M155" s="70">
        <v>2781000</v>
      </c>
      <c r="N155" s="70">
        <v>1789000</v>
      </c>
      <c r="O155" s="70">
        <v>1721978</v>
      </c>
      <c r="P155" s="70">
        <f t="shared" si="26"/>
        <v>6291978</v>
      </c>
      <c r="Q155" s="70">
        <f t="shared" si="27"/>
        <v>0</v>
      </c>
    </row>
    <row r="156" s="58" customFormat="1" ht="12.95" customHeight="1" spans="1:17">
      <c r="A156" s="69">
        <v>151</v>
      </c>
      <c r="B156" s="38" t="s">
        <v>324</v>
      </c>
      <c r="C156" s="38">
        <v>1360</v>
      </c>
      <c r="D156" s="70">
        <f t="shared" si="28"/>
        <v>4685.29411764706</v>
      </c>
      <c r="E156" s="38" t="s">
        <v>325</v>
      </c>
      <c r="F156" s="71">
        <v>44283</v>
      </c>
      <c r="G156" s="70">
        <v>6372000</v>
      </c>
      <c r="H156" s="63"/>
      <c r="I156" s="63"/>
      <c r="J156" s="70">
        <f>G156*5%+5428+900+24500</f>
        <v>349428</v>
      </c>
      <c r="K156" s="70">
        <v>0</v>
      </c>
      <c r="L156" s="70">
        <v>25000</v>
      </c>
      <c r="M156" s="70">
        <v>4733000</v>
      </c>
      <c r="N156" s="70">
        <v>1530000</v>
      </c>
      <c r="O156" s="70">
        <v>433428</v>
      </c>
      <c r="P156" s="70">
        <f t="shared" si="26"/>
        <v>6721428</v>
      </c>
      <c r="Q156" s="70">
        <f t="shared" si="27"/>
        <v>0</v>
      </c>
    </row>
    <row r="157" s="58" customFormat="1" ht="12.95" customHeight="1" spans="1:17">
      <c r="A157" s="69">
        <v>152</v>
      </c>
      <c r="B157" s="38" t="s">
        <v>326</v>
      </c>
      <c r="C157" s="38">
        <v>1360</v>
      </c>
      <c r="D157" s="70">
        <f t="shared" si="28"/>
        <v>5955.88235294118</v>
      </c>
      <c r="E157" s="38" t="s">
        <v>327</v>
      </c>
      <c r="F157" s="71">
        <v>44851</v>
      </c>
      <c r="G157" s="70">
        <v>8100000</v>
      </c>
      <c r="H157" s="63"/>
      <c r="I157" s="63"/>
      <c r="J157" s="70">
        <f>G157*5%+5428+900+24500+39772-68000</f>
        <v>407600</v>
      </c>
      <c r="K157" s="70">
        <v>0</v>
      </c>
      <c r="L157" s="70">
        <v>0</v>
      </c>
      <c r="M157" s="70">
        <v>0</v>
      </c>
      <c r="N157" s="70">
        <v>6608000</v>
      </c>
      <c r="O157" s="70">
        <v>1899600</v>
      </c>
      <c r="P157" s="70">
        <f t="shared" si="26"/>
        <v>8507600</v>
      </c>
      <c r="Q157" s="70">
        <f t="shared" si="27"/>
        <v>0</v>
      </c>
    </row>
    <row r="158" s="58" customFormat="1" ht="12.95" customHeight="1" spans="1:17">
      <c r="A158" s="69">
        <v>153</v>
      </c>
      <c r="B158" s="38" t="s">
        <v>328</v>
      </c>
      <c r="C158" s="38">
        <v>1360</v>
      </c>
      <c r="D158" s="70">
        <f t="shared" si="28"/>
        <v>4685.29411764706</v>
      </c>
      <c r="E158" s="38" t="s">
        <v>329</v>
      </c>
      <c r="F158" s="71">
        <v>44269</v>
      </c>
      <c r="G158" s="70">
        <v>6372000</v>
      </c>
      <c r="H158" s="63"/>
      <c r="I158" s="63"/>
      <c r="J158" s="70">
        <f>G158*5%+5428+900+24500</f>
        <v>349428</v>
      </c>
      <c r="K158" s="70">
        <v>0</v>
      </c>
      <c r="L158" s="70">
        <v>225000</v>
      </c>
      <c r="M158" s="70">
        <v>3466000</v>
      </c>
      <c r="N158" s="70">
        <v>1530000</v>
      </c>
      <c r="O158" s="70">
        <f>1263428+237000</f>
        <v>1500428</v>
      </c>
      <c r="P158" s="70">
        <f t="shared" si="26"/>
        <v>6721428</v>
      </c>
      <c r="Q158" s="70">
        <f t="shared" si="27"/>
        <v>0</v>
      </c>
    </row>
    <row r="159" s="58" customFormat="1" ht="12.95" customHeight="1" spans="1:17">
      <c r="A159" s="69">
        <v>154</v>
      </c>
      <c r="B159" s="38" t="s">
        <v>330</v>
      </c>
      <c r="C159" s="38">
        <v>1360</v>
      </c>
      <c r="D159" s="70">
        <f t="shared" si="28"/>
        <v>4100</v>
      </c>
      <c r="E159" s="38" t="s">
        <v>331</v>
      </c>
      <c r="F159" s="71">
        <v>44377</v>
      </c>
      <c r="G159" s="70">
        <v>5576000</v>
      </c>
      <c r="H159" s="63"/>
      <c r="I159" s="63"/>
      <c r="J159" s="70">
        <f>G159*5%</f>
        <v>278800</v>
      </c>
      <c r="K159" s="70">
        <v>0</v>
      </c>
      <c r="L159" s="70">
        <v>0</v>
      </c>
      <c r="M159" s="70">
        <v>754000</v>
      </c>
      <c r="N159" s="70">
        <v>3592000</v>
      </c>
      <c r="O159" s="70">
        <v>1030000</v>
      </c>
      <c r="P159" s="70">
        <f t="shared" si="26"/>
        <v>5376000</v>
      </c>
      <c r="Q159" s="70">
        <f t="shared" si="27"/>
        <v>478800</v>
      </c>
    </row>
    <row r="160" s="58" customFormat="1" ht="12.95" customHeight="1" spans="1:17">
      <c r="A160" s="69">
        <v>155</v>
      </c>
      <c r="B160" s="38" t="s">
        <v>332</v>
      </c>
      <c r="C160" s="38">
        <v>1360</v>
      </c>
      <c r="D160" s="70">
        <f t="shared" si="28"/>
        <v>4850</v>
      </c>
      <c r="E160" s="38" t="s">
        <v>333</v>
      </c>
      <c r="F160" s="71">
        <v>44704</v>
      </c>
      <c r="G160" s="70">
        <v>6596000</v>
      </c>
      <c r="H160" s="63"/>
      <c r="I160" s="63"/>
      <c r="J160" s="70">
        <f>G160*5%+5428+15266</f>
        <v>350494</v>
      </c>
      <c r="K160" s="70">
        <v>0</v>
      </c>
      <c r="L160" s="70">
        <v>0</v>
      </c>
      <c r="M160" s="70">
        <v>0</v>
      </c>
      <c r="N160" s="70">
        <v>5139000</v>
      </c>
      <c r="O160" s="70">
        <v>1807494</v>
      </c>
      <c r="P160" s="70">
        <f t="shared" si="26"/>
        <v>6946494</v>
      </c>
      <c r="Q160" s="70">
        <f t="shared" si="27"/>
        <v>0</v>
      </c>
    </row>
    <row r="161" s="58" customFormat="1" ht="12.95" customHeight="1" spans="1:17">
      <c r="A161" s="69">
        <v>156</v>
      </c>
      <c r="B161" s="38" t="s">
        <v>334</v>
      </c>
      <c r="C161" s="38">
        <v>1360</v>
      </c>
      <c r="D161" s="70">
        <f t="shared" si="28"/>
        <v>5185.29411764706</v>
      </c>
      <c r="E161" s="38" t="s">
        <v>335</v>
      </c>
      <c r="F161" s="71">
        <v>44500</v>
      </c>
      <c r="G161" s="70">
        <v>7052000</v>
      </c>
      <c r="H161" s="63"/>
      <c r="I161" s="63"/>
      <c r="J161" s="70">
        <f>G161*5%</f>
        <v>352600</v>
      </c>
      <c r="K161" s="70">
        <v>0</v>
      </c>
      <c r="L161" s="70">
        <v>0</v>
      </c>
      <c r="M161" s="70">
        <v>4053005</v>
      </c>
      <c r="N161" s="70">
        <v>1671000</v>
      </c>
      <c r="O161" s="70">
        <v>1647426</v>
      </c>
      <c r="P161" s="70">
        <f t="shared" si="26"/>
        <v>7371431</v>
      </c>
      <c r="Q161" s="70">
        <f t="shared" si="27"/>
        <v>33169</v>
      </c>
    </row>
    <row r="162" s="58" customFormat="1" ht="12.95" customHeight="1" spans="1:17">
      <c r="A162" s="69">
        <v>157</v>
      </c>
      <c r="B162" s="38" t="s">
        <v>336</v>
      </c>
      <c r="C162" s="38">
        <v>1360</v>
      </c>
      <c r="D162" s="70">
        <f t="shared" si="28"/>
        <v>4450</v>
      </c>
      <c r="E162" s="38" t="s">
        <v>337</v>
      </c>
      <c r="F162" s="71">
        <v>44500</v>
      </c>
      <c r="G162" s="70">
        <v>6052000</v>
      </c>
      <c r="H162" s="63"/>
      <c r="I162" s="63"/>
      <c r="J162" s="70">
        <f>G162*5%+55075-44000</f>
        <v>313675</v>
      </c>
      <c r="K162" s="70">
        <v>0</v>
      </c>
      <c r="L162" s="70">
        <v>0</v>
      </c>
      <c r="M162" s="70">
        <v>725000</v>
      </c>
      <c r="N162" s="70">
        <v>4013000</v>
      </c>
      <c r="O162" s="70">
        <f>1647428</f>
        <v>1647428</v>
      </c>
      <c r="P162" s="70">
        <f t="shared" ref="P162:P170" si="29">SUM(K162:O162)</f>
        <v>6385428</v>
      </c>
      <c r="Q162" s="70">
        <f t="shared" ref="Q162:Q170" si="30">G162+J162-P162</f>
        <v>-19753</v>
      </c>
    </row>
    <row r="163" s="58" customFormat="1" ht="12.95" customHeight="1" spans="1:17">
      <c r="A163" s="69">
        <v>158</v>
      </c>
      <c r="B163" s="38" t="s">
        <v>338</v>
      </c>
      <c r="C163" s="38">
        <v>1360</v>
      </c>
      <c r="D163" s="70">
        <f t="shared" si="28"/>
        <v>5772.05882352941</v>
      </c>
      <c r="E163" s="38" t="s">
        <v>339</v>
      </c>
      <c r="F163" s="71">
        <v>44721</v>
      </c>
      <c r="G163" s="70">
        <v>7850000</v>
      </c>
      <c r="H163" s="63"/>
      <c r="I163" s="63"/>
      <c r="J163" s="70">
        <f>G163*5%</f>
        <v>392500</v>
      </c>
      <c r="K163" s="70">
        <v>0</v>
      </c>
      <c r="L163" s="70">
        <v>0</v>
      </c>
      <c r="M163" s="70">
        <v>0</v>
      </c>
      <c r="N163" s="70">
        <v>6028000</v>
      </c>
      <c r="O163" s="70">
        <v>2177328</v>
      </c>
      <c r="P163" s="70">
        <f t="shared" si="29"/>
        <v>8205328</v>
      </c>
      <c r="Q163" s="70">
        <f t="shared" si="30"/>
        <v>37172</v>
      </c>
    </row>
    <row r="164" s="58" customFormat="1" ht="12.95" customHeight="1" spans="1:17">
      <c r="A164" s="69">
        <v>159</v>
      </c>
      <c r="B164" s="38" t="s">
        <v>340</v>
      </c>
      <c r="C164" s="38">
        <v>1360</v>
      </c>
      <c r="D164" s="70">
        <f t="shared" si="28"/>
        <v>5985.29411764706</v>
      </c>
      <c r="E164" s="38" t="s">
        <v>341</v>
      </c>
      <c r="F164" s="71">
        <v>44843</v>
      </c>
      <c r="G164" s="70">
        <v>8140000</v>
      </c>
      <c r="H164" s="63"/>
      <c r="I164" s="63"/>
      <c r="J164" s="70">
        <v>332050</v>
      </c>
      <c r="K164" s="70">
        <v>0</v>
      </c>
      <c r="L164" s="70">
        <v>0</v>
      </c>
      <c r="M164" s="70">
        <v>0</v>
      </c>
      <c r="N164" s="70">
        <v>6641000</v>
      </c>
      <c r="O164" s="70">
        <v>1937000</v>
      </c>
      <c r="P164" s="70">
        <f t="shared" si="29"/>
        <v>8578000</v>
      </c>
      <c r="Q164" s="70">
        <f t="shared" si="30"/>
        <v>-105950</v>
      </c>
    </row>
    <row r="165" s="58" customFormat="1" ht="12.95" customHeight="1" spans="1:17">
      <c r="A165" s="69">
        <v>160</v>
      </c>
      <c r="B165" s="38" t="s">
        <v>342</v>
      </c>
      <c r="C165" s="38">
        <v>1360</v>
      </c>
      <c r="D165" s="70">
        <f t="shared" si="28"/>
        <v>5672.05882352941</v>
      </c>
      <c r="E165" s="38" t="s">
        <v>343</v>
      </c>
      <c r="F165" s="71">
        <v>44671</v>
      </c>
      <c r="G165" s="70">
        <v>7714000</v>
      </c>
      <c r="H165" s="63"/>
      <c r="I165" s="63"/>
      <c r="J165" s="70">
        <f>G165*5%</f>
        <v>385700</v>
      </c>
      <c r="K165" s="70">
        <v>0</v>
      </c>
      <c r="L165" s="70">
        <v>0</v>
      </c>
      <c r="M165" s="70">
        <v>0</v>
      </c>
      <c r="N165" s="70">
        <v>6302994</v>
      </c>
      <c r="O165" s="70">
        <v>1812598</v>
      </c>
      <c r="P165" s="70">
        <f t="shared" si="29"/>
        <v>8115592</v>
      </c>
      <c r="Q165" s="70">
        <f t="shared" si="30"/>
        <v>-15892</v>
      </c>
    </row>
    <row r="166" s="58" customFormat="1" ht="12.95" customHeight="1" spans="1:17">
      <c r="A166" s="69">
        <v>161</v>
      </c>
      <c r="B166" s="38" t="s">
        <v>344</v>
      </c>
      <c r="C166" s="38">
        <v>1360</v>
      </c>
      <c r="D166" s="70">
        <f t="shared" si="28"/>
        <v>5422.05882352941</v>
      </c>
      <c r="E166" s="38" t="s">
        <v>345</v>
      </c>
      <c r="F166" s="71">
        <v>44640</v>
      </c>
      <c r="G166" s="70">
        <v>7374000</v>
      </c>
      <c r="H166" s="63"/>
      <c r="I166" s="63"/>
      <c r="J166" s="70">
        <v>212700</v>
      </c>
      <c r="K166" s="70">
        <v>0</v>
      </c>
      <c r="L166" s="70">
        <v>0</v>
      </c>
      <c r="M166" s="70">
        <v>25000</v>
      </c>
      <c r="N166" s="70">
        <v>4770000</v>
      </c>
      <c r="O166" s="70">
        <v>100000</v>
      </c>
      <c r="P166" s="70">
        <f t="shared" si="29"/>
        <v>4895000</v>
      </c>
      <c r="Q166" s="70">
        <f t="shared" si="30"/>
        <v>2691700</v>
      </c>
    </row>
    <row r="167" s="58" customFormat="1" ht="12.95" customHeight="1" spans="1:17">
      <c r="A167" s="69">
        <v>162</v>
      </c>
      <c r="B167" s="38" t="s">
        <v>346</v>
      </c>
      <c r="C167" s="38">
        <v>1360</v>
      </c>
      <c r="D167" s="70">
        <f t="shared" si="28"/>
        <v>6019.11764705882</v>
      </c>
      <c r="E167" s="38" t="s">
        <v>347</v>
      </c>
      <c r="F167" s="71">
        <v>45214</v>
      </c>
      <c r="G167" s="70">
        <v>8186000</v>
      </c>
      <c r="H167" s="63"/>
      <c r="I167" s="63"/>
      <c r="J167" s="70">
        <f>G167*5%</f>
        <v>409300</v>
      </c>
      <c r="K167" s="70">
        <v>0</v>
      </c>
      <c r="L167" s="70">
        <v>0</v>
      </c>
      <c r="M167" s="70">
        <v>0</v>
      </c>
      <c r="N167" s="70">
        <v>0</v>
      </c>
      <c r="O167" s="70">
        <v>6679000</v>
      </c>
      <c r="P167" s="70">
        <f t="shared" si="29"/>
        <v>6679000</v>
      </c>
      <c r="Q167" s="70">
        <f t="shared" si="30"/>
        <v>1916300</v>
      </c>
    </row>
    <row r="168" s="58" customFormat="1" ht="12.95" customHeight="1" spans="1:17">
      <c r="A168" s="69">
        <v>163</v>
      </c>
      <c r="B168" s="38" t="s">
        <v>348</v>
      </c>
      <c r="C168" s="38">
        <v>1360</v>
      </c>
      <c r="D168" s="70">
        <f t="shared" si="28"/>
        <v>5750.73529411765</v>
      </c>
      <c r="E168" s="38" t="s">
        <v>349</v>
      </c>
      <c r="F168" s="71">
        <v>44741</v>
      </c>
      <c r="G168" s="70">
        <v>7821000</v>
      </c>
      <c r="H168" s="63"/>
      <c r="I168" s="63"/>
      <c r="J168" s="70">
        <v>326800</v>
      </c>
      <c r="K168" s="70">
        <v>0</v>
      </c>
      <c r="L168" s="70">
        <v>0</v>
      </c>
      <c r="M168" s="70">
        <v>0</v>
      </c>
      <c r="N168" s="70">
        <v>6536005</v>
      </c>
      <c r="O168" s="70">
        <v>0</v>
      </c>
      <c r="P168" s="70">
        <f t="shared" si="29"/>
        <v>6536005</v>
      </c>
      <c r="Q168" s="70">
        <f t="shared" si="30"/>
        <v>1611795</v>
      </c>
    </row>
    <row r="169" s="58" customFormat="1" ht="12.95" customHeight="1" spans="1:17">
      <c r="A169" s="69">
        <v>164</v>
      </c>
      <c r="B169" s="38" t="s">
        <v>350</v>
      </c>
      <c r="C169" s="38">
        <v>1360</v>
      </c>
      <c r="D169" s="70">
        <f t="shared" si="28"/>
        <v>4385.29411764706</v>
      </c>
      <c r="E169" s="38" t="s">
        <v>351</v>
      </c>
      <c r="F169" s="71">
        <v>44789</v>
      </c>
      <c r="G169" s="70">
        <v>5964000</v>
      </c>
      <c r="H169" s="63"/>
      <c r="I169" s="63"/>
      <c r="J169" s="70">
        <v>224600</v>
      </c>
      <c r="K169" s="70">
        <v>0</v>
      </c>
      <c r="L169" s="70">
        <v>0</v>
      </c>
      <c r="M169" s="70">
        <v>0</v>
      </c>
      <c r="N169" s="70">
        <v>4492000</v>
      </c>
      <c r="O169" s="70">
        <v>1801028</v>
      </c>
      <c r="P169" s="70">
        <f t="shared" si="29"/>
        <v>6293028</v>
      </c>
      <c r="Q169" s="70">
        <f t="shared" si="30"/>
        <v>-104428</v>
      </c>
    </row>
    <row r="170" s="58" customFormat="1" ht="12.95" customHeight="1" spans="1:17">
      <c r="A170" s="69">
        <v>165</v>
      </c>
      <c r="B170" s="38" t="s">
        <v>352</v>
      </c>
      <c r="C170" s="38">
        <v>1360</v>
      </c>
      <c r="D170" s="70">
        <f t="shared" si="28"/>
        <v>6011.02941176471</v>
      </c>
      <c r="E170" s="38" t="s">
        <v>353</v>
      </c>
      <c r="F170" s="71">
        <v>45123</v>
      </c>
      <c r="G170" s="70">
        <v>8175000</v>
      </c>
      <c r="H170" s="63"/>
      <c r="I170" s="63"/>
      <c r="J170" s="70">
        <f>G170*3%</f>
        <v>245250</v>
      </c>
      <c r="K170" s="70">
        <v>0</v>
      </c>
      <c r="L170" s="70">
        <v>0</v>
      </c>
      <c r="M170" s="70">
        <v>0</v>
      </c>
      <c r="N170" s="70">
        <v>0</v>
      </c>
      <c r="O170" s="70">
        <v>7294600</v>
      </c>
      <c r="P170" s="70">
        <f t="shared" si="29"/>
        <v>7294600</v>
      </c>
      <c r="Q170" s="70">
        <f t="shared" si="30"/>
        <v>1125650</v>
      </c>
    </row>
    <row r="171" s="58" customFormat="1" ht="12.95" customHeight="1" spans="1:17">
      <c r="A171" s="69">
        <v>166</v>
      </c>
      <c r="B171" s="38" t="s">
        <v>354</v>
      </c>
      <c r="C171" s="38">
        <v>1360</v>
      </c>
      <c r="D171" s="70">
        <f t="shared" ref="D171:D181" si="31">G171/C171</f>
        <v>5756.61764705882</v>
      </c>
      <c r="E171" s="38" t="s">
        <v>355</v>
      </c>
      <c r="F171" s="71">
        <v>44707</v>
      </c>
      <c r="G171" s="70">
        <v>7829000</v>
      </c>
      <c r="H171" s="63"/>
      <c r="I171" s="63"/>
      <c r="J171" s="70">
        <v>225750</v>
      </c>
      <c r="K171" s="70">
        <v>0</v>
      </c>
      <c r="L171" s="70">
        <v>0</v>
      </c>
      <c r="M171" s="70">
        <v>0</v>
      </c>
      <c r="N171" s="70">
        <v>4535000</v>
      </c>
      <c r="O171" s="70">
        <v>2874750</v>
      </c>
      <c r="P171" s="70">
        <f t="shared" ref="P171:P183" si="32">SUM(K171:O171)</f>
        <v>7409750</v>
      </c>
      <c r="Q171" s="70">
        <f t="shared" ref="Q171:Q181" si="33">G171+J171-P171</f>
        <v>645000</v>
      </c>
    </row>
    <row r="172" s="58" customFormat="1" ht="12.95" customHeight="1" spans="1:17">
      <c r="A172" s="69">
        <v>167</v>
      </c>
      <c r="B172" s="38" t="s">
        <v>356</v>
      </c>
      <c r="C172" s="38">
        <v>1360</v>
      </c>
      <c r="D172" s="70">
        <f t="shared" si="31"/>
        <v>4952.94117647059</v>
      </c>
      <c r="E172" s="38" t="s">
        <v>357</v>
      </c>
      <c r="F172" s="71">
        <v>44926</v>
      </c>
      <c r="G172" s="70">
        <v>6736000</v>
      </c>
      <c r="H172" s="63"/>
      <c r="I172" s="63"/>
      <c r="J172" s="70">
        <v>162400</v>
      </c>
      <c r="K172" s="70">
        <v>0</v>
      </c>
      <c r="L172" s="70">
        <v>0</v>
      </c>
      <c r="M172" s="70">
        <v>0</v>
      </c>
      <c r="N172" s="70">
        <v>5221000</v>
      </c>
      <c r="O172" s="70">
        <v>1412514</v>
      </c>
      <c r="P172" s="70">
        <f t="shared" si="32"/>
        <v>6633514</v>
      </c>
      <c r="Q172" s="70">
        <f t="shared" si="33"/>
        <v>264886</v>
      </c>
    </row>
    <row r="173" s="58" customFormat="1" ht="12.95" customHeight="1" spans="1:17">
      <c r="A173" s="69">
        <v>168</v>
      </c>
      <c r="B173" s="38" t="s">
        <v>358</v>
      </c>
      <c r="C173" s="38">
        <v>1360</v>
      </c>
      <c r="D173" s="70">
        <f t="shared" si="31"/>
        <v>5930.88235294118</v>
      </c>
      <c r="E173" s="38" t="s">
        <v>359</v>
      </c>
      <c r="F173" s="71">
        <v>44863</v>
      </c>
      <c r="G173" s="70">
        <v>8066000</v>
      </c>
      <c r="H173" s="63"/>
      <c r="I173" s="63"/>
      <c r="J173" s="70">
        <f t="shared" ref="J173:J180" si="34">G173*5%</f>
        <v>403300</v>
      </c>
      <c r="K173" s="70">
        <v>0</v>
      </c>
      <c r="L173" s="70">
        <v>0</v>
      </c>
      <c r="M173" s="70">
        <v>0</v>
      </c>
      <c r="N173" s="70">
        <v>5143324</v>
      </c>
      <c r="O173" s="70">
        <v>3355384</v>
      </c>
      <c r="P173" s="70">
        <f t="shared" si="32"/>
        <v>8498708</v>
      </c>
      <c r="Q173" s="70">
        <f t="shared" si="33"/>
        <v>-29408</v>
      </c>
    </row>
    <row r="174" s="58" customFormat="1" ht="12.95" customHeight="1" spans="1:17">
      <c r="A174" s="69">
        <v>169</v>
      </c>
      <c r="B174" s="38" t="s">
        <v>360</v>
      </c>
      <c r="C174" s="38">
        <v>1360</v>
      </c>
      <c r="D174" s="70">
        <f t="shared" si="31"/>
        <v>6005.88235294118</v>
      </c>
      <c r="E174" s="38" t="s">
        <v>361</v>
      </c>
      <c r="F174" s="71">
        <v>45116</v>
      </c>
      <c r="G174" s="70">
        <v>8168000</v>
      </c>
      <c r="H174" s="63"/>
      <c r="I174" s="63"/>
      <c r="J174" s="70">
        <f t="shared" si="34"/>
        <v>408400</v>
      </c>
      <c r="K174" s="70">
        <v>0</v>
      </c>
      <c r="L174" s="70">
        <v>0</v>
      </c>
      <c r="M174" s="70">
        <v>0</v>
      </c>
      <c r="N174" s="70">
        <v>0</v>
      </c>
      <c r="O174" s="70">
        <f>6747000+1829400</f>
        <v>8576400</v>
      </c>
      <c r="P174" s="70">
        <f t="shared" si="32"/>
        <v>8576400</v>
      </c>
      <c r="Q174" s="70">
        <f t="shared" ref="Q174" si="35">G174+J174-P174</f>
        <v>0</v>
      </c>
    </row>
    <row r="175" s="58" customFormat="1" ht="12.95" customHeight="1" spans="1:17">
      <c r="A175" s="69">
        <v>170</v>
      </c>
      <c r="B175" s="38" t="s">
        <v>362</v>
      </c>
      <c r="C175" s="38">
        <v>1360</v>
      </c>
      <c r="D175" s="70">
        <f t="shared" si="31"/>
        <v>5441.17647058824</v>
      </c>
      <c r="E175" s="38" t="s">
        <v>363</v>
      </c>
      <c r="F175" s="71">
        <v>44647</v>
      </c>
      <c r="G175" s="70">
        <v>7400000</v>
      </c>
      <c r="H175" s="63"/>
      <c r="I175" s="63"/>
      <c r="J175" s="70">
        <f t="shared" si="34"/>
        <v>370000</v>
      </c>
      <c r="K175" s="70">
        <v>0</v>
      </c>
      <c r="L175" s="70">
        <v>0</v>
      </c>
      <c r="M175" s="70">
        <v>25000</v>
      </c>
      <c r="N175" s="70">
        <v>4445000</v>
      </c>
      <c r="O175" s="70">
        <v>2933000</v>
      </c>
      <c r="P175" s="70">
        <f t="shared" si="32"/>
        <v>7403000</v>
      </c>
      <c r="Q175" s="70">
        <f t="shared" si="33"/>
        <v>367000</v>
      </c>
    </row>
    <row r="176" s="57" customFormat="1" ht="12.95" customHeight="1" spans="1:17">
      <c r="A176" s="69">
        <v>171</v>
      </c>
      <c r="B176" s="38" t="s">
        <v>364</v>
      </c>
      <c r="C176" s="38">
        <v>1360</v>
      </c>
      <c r="D176" s="70">
        <f t="shared" si="31"/>
        <v>5433.82352941176</v>
      </c>
      <c r="E176" s="38" t="s">
        <v>365</v>
      </c>
      <c r="F176" s="71">
        <v>44626</v>
      </c>
      <c r="G176" s="70">
        <v>7390000</v>
      </c>
      <c r="H176" s="63"/>
      <c r="I176" s="63"/>
      <c r="J176" s="70">
        <f t="shared" si="34"/>
        <v>369500</v>
      </c>
      <c r="K176" s="70">
        <v>0</v>
      </c>
      <c r="L176" s="70">
        <v>0</v>
      </c>
      <c r="M176" s="70">
        <v>1333000</v>
      </c>
      <c r="N176" s="70">
        <v>2930000</v>
      </c>
      <c r="O176" s="70">
        <f>1758000+500000</f>
        <v>2258000</v>
      </c>
      <c r="P176" s="70">
        <f t="shared" si="32"/>
        <v>6521000</v>
      </c>
      <c r="Q176" s="70">
        <f t="shared" si="33"/>
        <v>1238500</v>
      </c>
    </row>
    <row r="177" s="57" customFormat="1" ht="12.95" customHeight="1" spans="1:17">
      <c r="A177" s="69">
        <v>172</v>
      </c>
      <c r="B177" s="38" t="s">
        <v>366</v>
      </c>
      <c r="C177" s="38">
        <v>1360</v>
      </c>
      <c r="D177" s="70">
        <f t="shared" si="31"/>
        <v>5433.82352941176</v>
      </c>
      <c r="E177" s="38" t="s">
        <v>367</v>
      </c>
      <c r="F177" s="71">
        <v>44634</v>
      </c>
      <c r="G177" s="70">
        <v>7390000</v>
      </c>
      <c r="H177" s="63"/>
      <c r="I177" s="63"/>
      <c r="J177" s="70">
        <f t="shared" si="34"/>
        <v>369500</v>
      </c>
      <c r="K177" s="70">
        <v>0</v>
      </c>
      <c r="L177" s="70">
        <v>0</v>
      </c>
      <c r="M177" s="70">
        <v>225000</v>
      </c>
      <c r="N177" s="70">
        <v>4038000</v>
      </c>
      <c r="O177" s="70">
        <v>1758000</v>
      </c>
      <c r="P177" s="70">
        <f t="shared" si="32"/>
        <v>6021000</v>
      </c>
      <c r="Q177" s="70">
        <f t="shared" si="33"/>
        <v>1738500</v>
      </c>
    </row>
    <row r="178" s="57" customFormat="1" ht="12.95" customHeight="1" spans="1:17">
      <c r="A178" s="69">
        <v>173</v>
      </c>
      <c r="B178" s="38" t="s">
        <v>368</v>
      </c>
      <c r="C178" s="38">
        <v>1360</v>
      </c>
      <c r="D178" s="70">
        <f t="shared" si="31"/>
        <v>6005.88235294118</v>
      </c>
      <c r="E178" s="38" t="s">
        <v>369</v>
      </c>
      <c r="F178" s="71">
        <v>45018</v>
      </c>
      <c r="G178" s="70">
        <v>8168000</v>
      </c>
      <c r="H178" s="63"/>
      <c r="I178" s="63"/>
      <c r="J178" s="70">
        <f t="shared" si="34"/>
        <v>408400</v>
      </c>
      <c r="K178" s="70">
        <v>0</v>
      </c>
      <c r="L178" s="70">
        <v>0</v>
      </c>
      <c r="M178" s="70">
        <v>0</v>
      </c>
      <c r="N178" s="70">
        <v>0</v>
      </c>
      <c r="O178" s="70">
        <v>7685824</v>
      </c>
      <c r="P178" s="70">
        <f t="shared" si="32"/>
        <v>7685824</v>
      </c>
      <c r="Q178" s="70">
        <f t="shared" si="33"/>
        <v>890576</v>
      </c>
    </row>
    <row r="179" s="57" customFormat="1" ht="12.95" customHeight="1" spans="1:17">
      <c r="A179" s="69">
        <v>174</v>
      </c>
      <c r="B179" s="38" t="s">
        <v>370</v>
      </c>
      <c r="C179" s="38">
        <v>1360</v>
      </c>
      <c r="D179" s="70">
        <f t="shared" si="31"/>
        <v>6004.41176470588</v>
      </c>
      <c r="E179" s="38" t="s">
        <v>371</v>
      </c>
      <c r="F179" s="71">
        <v>45096</v>
      </c>
      <c r="G179" s="70">
        <v>8166000</v>
      </c>
      <c r="H179" s="63"/>
      <c r="I179" s="63"/>
      <c r="J179" s="70">
        <f t="shared" si="34"/>
        <v>408300</v>
      </c>
      <c r="K179" s="70">
        <v>0</v>
      </c>
      <c r="L179" s="70">
        <v>0</v>
      </c>
      <c r="M179" s="70">
        <v>0</v>
      </c>
      <c r="N179" s="70">
        <v>0</v>
      </c>
      <c r="O179" s="70">
        <v>8539128</v>
      </c>
      <c r="P179" s="70">
        <f t="shared" si="32"/>
        <v>8539128</v>
      </c>
      <c r="Q179" s="70">
        <f t="shared" si="33"/>
        <v>35172</v>
      </c>
    </row>
    <row r="180" s="57" customFormat="1" ht="12.95" customHeight="1" spans="1:17">
      <c r="A180" s="69">
        <v>175</v>
      </c>
      <c r="B180" s="38" t="s">
        <v>372</v>
      </c>
      <c r="C180" s="38">
        <v>1360</v>
      </c>
      <c r="D180" s="70">
        <f t="shared" si="31"/>
        <v>4687.5</v>
      </c>
      <c r="E180" s="38" t="s">
        <v>373</v>
      </c>
      <c r="F180" s="71">
        <v>45306</v>
      </c>
      <c r="G180" s="70">
        <v>6375000</v>
      </c>
      <c r="H180" s="63"/>
      <c r="I180" s="63"/>
      <c r="J180" s="70">
        <v>0</v>
      </c>
      <c r="K180" s="70">
        <v>0</v>
      </c>
      <c r="L180" s="70">
        <v>0</v>
      </c>
      <c r="M180" s="70">
        <v>0</v>
      </c>
      <c r="N180" s="70">
        <v>0</v>
      </c>
      <c r="O180" s="70">
        <v>225000</v>
      </c>
      <c r="P180" s="70">
        <f t="shared" si="32"/>
        <v>225000</v>
      </c>
      <c r="Q180" s="70">
        <f t="shared" si="33"/>
        <v>6150000</v>
      </c>
    </row>
    <row r="181" s="57" customFormat="1" ht="12.95" customHeight="1" spans="1:17">
      <c r="A181" s="69">
        <v>176</v>
      </c>
      <c r="B181" s="38" t="s">
        <v>374</v>
      </c>
      <c r="C181" s="38">
        <v>1360</v>
      </c>
      <c r="D181" s="70">
        <f t="shared" si="31"/>
        <v>5422.05882352941</v>
      </c>
      <c r="E181" s="38" t="s">
        <v>375</v>
      </c>
      <c r="F181" s="71">
        <v>44626</v>
      </c>
      <c r="G181" s="70">
        <v>7374000</v>
      </c>
      <c r="H181" s="63"/>
      <c r="I181" s="63"/>
      <c r="J181" s="70">
        <f>G181*5%</f>
        <v>368700</v>
      </c>
      <c r="K181" s="70">
        <v>0</v>
      </c>
      <c r="L181" s="70">
        <v>0</v>
      </c>
      <c r="M181" s="70">
        <v>25000</v>
      </c>
      <c r="N181" s="70">
        <v>4220000</v>
      </c>
      <c r="O181" s="70">
        <v>1700000</v>
      </c>
      <c r="P181" s="70">
        <f t="shared" si="32"/>
        <v>5945000</v>
      </c>
      <c r="Q181" s="70">
        <f t="shared" si="33"/>
        <v>1797700</v>
      </c>
    </row>
    <row r="182" s="57" customFormat="1" ht="12.95" hidden="1" customHeight="1" spans="1:17">
      <c r="A182" s="69">
        <v>177</v>
      </c>
      <c r="B182" s="38"/>
      <c r="C182" s="38"/>
      <c r="D182" s="70"/>
      <c r="E182" s="38"/>
      <c r="F182" s="71"/>
      <c r="G182" s="70"/>
      <c r="H182" s="63"/>
      <c r="I182" s="63"/>
      <c r="J182" s="63"/>
      <c r="K182" s="70"/>
      <c r="L182" s="70"/>
      <c r="M182" s="70"/>
      <c r="N182" s="70"/>
      <c r="O182" s="70"/>
      <c r="P182" s="70">
        <f t="shared" si="32"/>
        <v>0</v>
      </c>
      <c r="Q182" s="70"/>
    </row>
    <row r="183" s="57" customFormat="1" ht="12.95" hidden="1" customHeight="1" spans="1:17">
      <c r="A183" s="69">
        <v>178</v>
      </c>
      <c r="B183" s="38"/>
      <c r="C183" s="38"/>
      <c r="D183" s="70"/>
      <c r="E183" s="38"/>
      <c r="F183" s="71"/>
      <c r="G183" s="70"/>
      <c r="H183" s="63"/>
      <c r="I183" s="63"/>
      <c r="J183" s="63"/>
      <c r="K183" s="70"/>
      <c r="L183" s="70"/>
      <c r="M183" s="70"/>
      <c r="N183" s="70"/>
      <c r="O183" s="70"/>
      <c r="P183" s="70">
        <f t="shared" si="32"/>
        <v>0</v>
      </c>
      <c r="Q183" s="70"/>
    </row>
    <row r="184" s="57" customFormat="1" ht="12.95" customHeight="1" spans="1:17">
      <c r="A184" s="77"/>
      <c r="B184" s="78" t="s">
        <v>376</v>
      </c>
      <c r="C184" s="79">
        <f>SUM(C6:C183)</f>
        <v>265760</v>
      </c>
      <c r="D184" s="80">
        <f>G184/C184</f>
        <v>4633.59798314268</v>
      </c>
      <c r="E184" s="81"/>
      <c r="F184" s="82"/>
      <c r="G184" s="79">
        <f>SUM(G6:G183)</f>
        <v>1231425000</v>
      </c>
      <c r="H184" s="79">
        <f t="shared" ref="H184:Q184" si="36">SUM(H6:H183)</f>
        <v>0</v>
      </c>
      <c r="I184" s="79">
        <f t="shared" si="36"/>
        <v>0</v>
      </c>
      <c r="J184" s="79">
        <f t="shared" si="36"/>
        <v>64283121</v>
      </c>
      <c r="K184" s="79">
        <f t="shared" si="36"/>
        <v>66948917</v>
      </c>
      <c r="L184" s="79">
        <f t="shared" si="36"/>
        <v>151356658</v>
      </c>
      <c r="M184" s="80">
        <f t="shared" si="36"/>
        <v>370877702.8</v>
      </c>
      <c r="N184" s="80">
        <f t="shared" si="36"/>
        <v>396486792</v>
      </c>
      <c r="O184" s="80">
        <f t="shared" si="36"/>
        <v>206643451.56</v>
      </c>
      <c r="P184" s="80">
        <f t="shared" si="36"/>
        <v>1192313521.36</v>
      </c>
      <c r="Q184" s="80">
        <f t="shared" si="36"/>
        <v>103394599.64</v>
      </c>
    </row>
    <row r="185" spans="15:15">
      <c r="O185" s="84"/>
    </row>
    <row r="186" spans="7:15">
      <c r="G186" s="83">
        <f>G184-[4]PCM!$H$211</f>
        <v>0</v>
      </c>
      <c r="N186" s="83">
        <f>N184-'[3]RERA sold units details'!$N$171</f>
        <v>0</v>
      </c>
      <c r="O186" s="84"/>
    </row>
    <row r="187" spans="15:15">
      <c r="O187" s="83"/>
    </row>
  </sheetData>
  <printOptions gridLines="1"/>
  <pageMargins left="0.708661417322835" right="0.708661417322835" top="0.748031496062992" bottom="0.551181102362205" header="0.31496062992126" footer="0.31496062992126"/>
  <pageSetup paperSize="9" scale="80" orientation="landscape"/>
  <headerFooter>
    <oddHeader>&amp;C&amp;F
&amp;A</oddHeader>
    <oddFooter>&amp;CPage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F0"/>
  </sheetPr>
  <dimension ref="A1:I230"/>
  <sheetViews>
    <sheetView topLeftCell="A70" workbookViewId="0">
      <selection activeCell="I86" sqref="I86"/>
    </sheetView>
  </sheetViews>
  <sheetFormatPr defaultColWidth="9" defaultRowHeight="12.75"/>
  <cols>
    <col min="1" max="1" width="7.42857142857143" style="34" customWidth="1"/>
    <col min="2" max="3" width="7.14285714285714" style="1" customWidth="1"/>
    <col min="4" max="5" width="9.57142857142857" style="1" customWidth="1"/>
    <col min="6" max="6" width="9.57142857142857" style="35" customWidth="1"/>
    <col min="7" max="8" width="11.7142857142857" style="35" customWidth="1"/>
    <col min="9" max="9" width="11.7142857142857" style="36" customWidth="1"/>
    <col min="10" max="16384" width="9.14285714285714" style="1"/>
  </cols>
  <sheetData>
    <row r="1" spans="1:9">
      <c r="A1" s="4" t="s">
        <v>0</v>
      </c>
      <c r="D1" s="4" t="s">
        <v>1</v>
      </c>
      <c r="G1" s="4" t="s">
        <v>2</v>
      </c>
      <c r="I1" s="4" t="s">
        <v>3</v>
      </c>
    </row>
    <row r="2" spans="1:9">
      <c r="A2" s="4" t="s">
        <v>4</v>
      </c>
      <c r="D2" s="4" t="s">
        <v>5</v>
      </c>
      <c r="G2" s="4" t="s">
        <v>6</v>
      </c>
      <c r="H2" s="37"/>
      <c r="I2" s="46">
        <f>'RERA sold units details'!K2</f>
        <v>45394</v>
      </c>
    </row>
    <row r="3" spans="1:9">
      <c r="A3" s="4" t="s">
        <v>377</v>
      </c>
      <c r="E3" s="4"/>
      <c r="G3" s="38" t="s">
        <v>378</v>
      </c>
      <c r="I3" s="47" t="str">
        <f>'RERA sold units details'!K3</f>
        <v>Apr-2023 to Mar-2024</v>
      </c>
    </row>
    <row r="5" s="33" customFormat="1" ht="51" spans="1:9">
      <c r="A5" s="39" t="s">
        <v>379</v>
      </c>
      <c r="B5" s="39" t="s">
        <v>380</v>
      </c>
      <c r="C5" s="39" t="s">
        <v>381</v>
      </c>
      <c r="D5" s="39" t="s">
        <v>382</v>
      </c>
      <c r="E5" s="39" t="s">
        <v>383</v>
      </c>
      <c r="F5" s="40" t="s">
        <v>384</v>
      </c>
      <c r="G5" s="40" t="s">
        <v>385</v>
      </c>
      <c r="H5" s="40" t="s">
        <v>386</v>
      </c>
      <c r="I5" s="40" t="s">
        <v>387</v>
      </c>
    </row>
    <row r="6" spans="1:9">
      <c r="A6" s="41">
        <v>1</v>
      </c>
      <c r="B6" s="42" t="s">
        <v>388</v>
      </c>
      <c r="C6" s="42">
        <v>102</v>
      </c>
      <c r="D6" s="43">
        <v>945</v>
      </c>
      <c r="E6" s="44">
        <v>1089</v>
      </c>
      <c r="F6" s="44">
        <v>1360</v>
      </c>
      <c r="G6" s="45">
        <v>69.13</v>
      </c>
      <c r="H6" s="42" t="s">
        <v>389</v>
      </c>
      <c r="I6" s="48" t="s">
        <v>390</v>
      </c>
    </row>
    <row r="7" spans="1:9">
      <c r="A7" s="41">
        <v>2</v>
      </c>
      <c r="B7" s="42" t="s">
        <v>388</v>
      </c>
      <c r="C7" s="42">
        <v>103</v>
      </c>
      <c r="D7" s="43">
        <v>945</v>
      </c>
      <c r="E7" s="44">
        <v>1089</v>
      </c>
      <c r="F7" s="44">
        <v>1360</v>
      </c>
      <c r="G7" s="45">
        <v>69.13</v>
      </c>
      <c r="H7" s="42" t="s">
        <v>389</v>
      </c>
      <c r="I7" s="48" t="s">
        <v>390</v>
      </c>
    </row>
    <row r="8" spans="1:9">
      <c r="A8" s="41">
        <v>3</v>
      </c>
      <c r="B8" s="42" t="s">
        <v>388</v>
      </c>
      <c r="C8" s="42">
        <v>105</v>
      </c>
      <c r="D8" s="43">
        <v>945</v>
      </c>
      <c r="E8" s="44">
        <v>1089</v>
      </c>
      <c r="F8" s="44">
        <v>1360</v>
      </c>
      <c r="G8" s="45">
        <v>69.13</v>
      </c>
      <c r="H8" s="42" t="s">
        <v>389</v>
      </c>
      <c r="I8" s="48" t="s">
        <v>390</v>
      </c>
    </row>
    <row r="9" spans="1:9">
      <c r="A9" s="41">
        <v>4</v>
      </c>
      <c r="B9" s="42" t="s">
        <v>388</v>
      </c>
      <c r="C9" s="42">
        <v>106</v>
      </c>
      <c r="D9" s="43">
        <v>945</v>
      </c>
      <c r="E9" s="44">
        <v>1089</v>
      </c>
      <c r="F9" s="44">
        <v>1360</v>
      </c>
      <c r="G9" s="45">
        <v>69.13</v>
      </c>
      <c r="H9" s="42" t="s">
        <v>389</v>
      </c>
      <c r="I9" s="48" t="s">
        <v>390</v>
      </c>
    </row>
    <row r="10" spans="1:9">
      <c r="A10" s="41">
        <v>5</v>
      </c>
      <c r="B10" s="42" t="s">
        <v>388</v>
      </c>
      <c r="C10" s="42">
        <v>108</v>
      </c>
      <c r="D10" s="43">
        <v>945</v>
      </c>
      <c r="E10" s="44">
        <v>1089</v>
      </c>
      <c r="F10" s="44">
        <v>1360</v>
      </c>
      <c r="G10" s="45">
        <v>69.13</v>
      </c>
      <c r="H10" s="42" t="s">
        <v>389</v>
      </c>
      <c r="I10" s="48" t="s">
        <v>390</v>
      </c>
    </row>
    <row r="11" spans="1:9">
      <c r="A11" s="41">
        <v>6</v>
      </c>
      <c r="B11" s="42" t="s">
        <v>388</v>
      </c>
      <c r="C11" s="42">
        <v>109</v>
      </c>
      <c r="D11" s="43">
        <v>945</v>
      </c>
      <c r="E11" s="44">
        <v>1089</v>
      </c>
      <c r="F11" s="44">
        <v>1360</v>
      </c>
      <c r="G11" s="45">
        <v>69.13</v>
      </c>
      <c r="H11" s="42" t="s">
        <v>389</v>
      </c>
      <c r="I11" s="48" t="s">
        <v>390</v>
      </c>
    </row>
    <row r="12" spans="1:9">
      <c r="A12" s="41">
        <v>7</v>
      </c>
      <c r="B12" s="42" t="s">
        <v>388</v>
      </c>
      <c r="C12" s="42">
        <v>202</v>
      </c>
      <c r="D12" s="43">
        <v>945</v>
      </c>
      <c r="E12" s="44">
        <v>1089</v>
      </c>
      <c r="F12" s="44">
        <v>1360</v>
      </c>
      <c r="G12" s="45">
        <v>69.13</v>
      </c>
      <c r="H12" s="42" t="s">
        <v>389</v>
      </c>
      <c r="I12" s="48" t="s">
        <v>390</v>
      </c>
    </row>
    <row r="13" spans="1:9">
      <c r="A13" s="41">
        <v>8</v>
      </c>
      <c r="B13" s="42" t="s">
        <v>388</v>
      </c>
      <c r="C13" s="42">
        <v>203</v>
      </c>
      <c r="D13" s="43">
        <v>945</v>
      </c>
      <c r="E13" s="44">
        <v>1089</v>
      </c>
      <c r="F13" s="44">
        <v>1360</v>
      </c>
      <c r="G13" s="45">
        <v>69.13</v>
      </c>
      <c r="H13" s="42" t="s">
        <v>389</v>
      </c>
      <c r="I13" s="48" t="s">
        <v>390</v>
      </c>
    </row>
    <row r="14" spans="1:9">
      <c r="A14" s="41">
        <v>9</v>
      </c>
      <c r="B14" s="42" t="s">
        <v>388</v>
      </c>
      <c r="C14" s="42">
        <v>206</v>
      </c>
      <c r="D14" s="43">
        <v>945</v>
      </c>
      <c r="E14" s="44">
        <v>1089</v>
      </c>
      <c r="F14" s="44">
        <v>1360</v>
      </c>
      <c r="G14" s="45">
        <v>69.13</v>
      </c>
      <c r="H14" s="42" t="s">
        <v>389</v>
      </c>
      <c r="I14" s="48" t="s">
        <v>390</v>
      </c>
    </row>
    <row r="15" spans="1:9">
      <c r="A15" s="41">
        <v>10</v>
      </c>
      <c r="B15" s="42" t="s">
        <v>388</v>
      </c>
      <c r="C15" s="42">
        <v>208</v>
      </c>
      <c r="D15" s="43">
        <v>945</v>
      </c>
      <c r="E15" s="44">
        <v>1089</v>
      </c>
      <c r="F15" s="44">
        <v>1360</v>
      </c>
      <c r="G15" s="45">
        <v>69.13</v>
      </c>
      <c r="H15" s="42" t="s">
        <v>389</v>
      </c>
      <c r="I15" s="48" t="s">
        <v>390</v>
      </c>
    </row>
    <row r="16" spans="1:9">
      <c r="A16" s="41">
        <v>11</v>
      </c>
      <c r="B16" s="42" t="s">
        <v>388</v>
      </c>
      <c r="C16" s="42">
        <v>209</v>
      </c>
      <c r="D16" s="43">
        <v>945</v>
      </c>
      <c r="E16" s="44">
        <v>1089</v>
      </c>
      <c r="F16" s="44">
        <v>1360</v>
      </c>
      <c r="G16" s="45">
        <v>69.13</v>
      </c>
      <c r="H16" s="42" t="s">
        <v>389</v>
      </c>
      <c r="I16" s="48" t="s">
        <v>390</v>
      </c>
    </row>
    <row r="17" spans="1:9">
      <c r="A17" s="41">
        <v>12</v>
      </c>
      <c r="B17" s="42" t="s">
        <v>388</v>
      </c>
      <c r="C17" s="42">
        <v>302</v>
      </c>
      <c r="D17" s="43">
        <v>945</v>
      </c>
      <c r="E17" s="44">
        <v>1089</v>
      </c>
      <c r="F17" s="44">
        <v>1360</v>
      </c>
      <c r="G17" s="45">
        <v>69.13</v>
      </c>
      <c r="H17" s="42" t="s">
        <v>389</v>
      </c>
      <c r="I17" s="48" t="s">
        <v>390</v>
      </c>
    </row>
    <row r="18" spans="1:9">
      <c r="A18" s="41">
        <v>13</v>
      </c>
      <c r="B18" s="42" t="s">
        <v>388</v>
      </c>
      <c r="C18" s="42">
        <v>303</v>
      </c>
      <c r="D18" s="43">
        <v>945</v>
      </c>
      <c r="E18" s="44">
        <v>1089</v>
      </c>
      <c r="F18" s="44">
        <v>1360</v>
      </c>
      <c r="G18" s="45">
        <v>69.13</v>
      </c>
      <c r="H18" s="42" t="s">
        <v>389</v>
      </c>
      <c r="I18" s="48" t="s">
        <v>390</v>
      </c>
    </row>
    <row r="19" spans="1:9">
      <c r="A19" s="41">
        <v>14</v>
      </c>
      <c r="B19" s="42" t="s">
        <v>388</v>
      </c>
      <c r="C19" s="42">
        <v>305</v>
      </c>
      <c r="D19" s="43">
        <v>945</v>
      </c>
      <c r="E19" s="44">
        <v>1089</v>
      </c>
      <c r="F19" s="44">
        <v>1360</v>
      </c>
      <c r="G19" s="45">
        <v>69.13</v>
      </c>
      <c r="H19" s="42" t="s">
        <v>389</v>
      </c>
      <c r="I19" s="48" t="s">
        <v>390</v>
      </c>
    </row>
    <row r="20" spans="1:9">
      <c r="A20" s="41">
        <v>15</v>
      </c>
      <c r="B20" s="42" t="s">
        <v>388</v>
      </c>
      <c r="C20" s="42">
        <v>306</v>
      </c>
      <c r="D20" s="43">
        <v>945</v>
      </c>
      <c r="E20" s="44">
        <v>1089</v>
      </c>
      <c r="F20" s="44">
        <v>1360</v>
      </c>
      <c r="G20" s="45">
        <v>69.13</v>
      </c>
      <c r="H20" s="42" t="s">
        <v>389</v>
      </c>
      <c r="I20" s="48" t="s">
        <v>390</v>
      </c>
    </row>
    <row r="21" spans="1:9">
      <c r="A21" s="41">
        <v>16</v>
      </c>
      <c r="B21" s="42" t="s">
        <v>388</v>
      </c>
      <c r="C21" s="42">
        <v>308</v>
      </c>
      <c r="D21" s="43">
        <v>945</v>
      </c>
      <c r="E21" s="44">
        <v>1089</v>
      </c>
      <c r="F21" s="44">
        <v>1360</v>
      </c>
      <c r="G21" s="45">
        <v>69.13</v>
      </c>
      <c r="H21" s="42" t="s">
        <v>389</v>
      </c>
      <c r="I21" s="48" t="s">
        <v>390</v>
      </c>
    </row>
    <row r="22" spans="1:9">
      <c r="A22" s="41">
        <v>17</v>
      </c>
      <c r="B22" s="42" t="s">
        <v>388</v>
      </c>
      <c r="C22" s="42">
        <v>309</v>
      </c>
      <c r="D22" s="43">
        <v>945</v>
      </c>
      <c r="E22" s="44">
        <v>1089</v>
      </c>
      <c r="F22" s="44">
        <v>1360</v>
      </c>
      <c r="G22" s="45">
        <v>69.13</v>
      </c>
      <c r="H22" s="42" t="s">
        <v>389</v>
      </c>
      <c r="I22" s="48" t="s">
        <v>390</v>
      </c>
    </row>
    <row r="23" spans="1:9">
      <c r="A23" s="41">
        <v>18</v>
      </c>
      <c r="B23" s="42" t="s">
        <v>388</v>
      </c>
      <c r="C23" s="42">
        <v>402</v>
      </c>
      <c r="D23" s="43">
        <v>945</v>
      </c>
      <c r="E23" s="44">
        <v>1089</v>
      </c>
      <c r="F23" s="44">
        <v>1360</v>
      </c>
      <c r="G23" s="45">
        <v>69.13</v>
      </c>
      <c r="H23" s="42" t="s">
        <v>389</v>
      </c>
      <c r="I23" s="48" t="s">
        <v>390</v>
      </c>
    </row>
    <row r="24" spans="1:9">
      <c r="A24" s="41">
        <v>19</v>
      </c>
      <c r="B24" s="42" t="s">
        <v>388</v>
      </c>
      <c r="C24" s="42">
        <v>403</v>
      </c>
      <c r="D24" s="43">
        <v>945</v>
      </c>
      <c r="E24" s="44">
        <v>1089</v>
      </c>
      <c r="F24" s="44">
        <v>1360</v>
      </c>
      <c r="G24" s="45">
        <v>69.13</v>
      </c>
      <c r="H24" s="42" t="s">
        <v>389</v>
      </c>
      <c r="I24" s="48" t="s">
        <v>390</v>
      </c>
    </row>
    <row r="25" spans="1:9">
      <c r="A25" s="41">
        <v>20</v>
      </c>
      <c r="B25" s="42" t="s">
        <v>388</v>
      </c>
      <c r="C25" s="42">
        <v>405</v>
      </c>
      <c r="D25" s="43">
        <v>945</v>
      </c>
      <c r="E25" s="44">
        <v>1089</v>
      </c>
      <c r="F25" s="44">
        <v>1360</v>
      </c>
      <c r="G25" s="45">
        <v>69.13</v>
      </c>
      <c r="H25" s="42" t="s">
        <v>389</v>
      </c>
      <c r="I25" s="48" t="s">
        <v>390</v>
      </c>
    </row>
    <row r="26" spans="1:9">
      <c r="A26" s="41">
        <v>21</v>
      </c>
      <c r="B26" s="42" t="s">
        <v>388</v>
      </c>
      <c r="C26" s="42">
        <v>406</v>
      </c>
      <c r="D26" s="43">
        <v>945</v>
      </c>
      <c r="E26" s="44">
        <v>1089</v>
      </c>
      <c r="F26" s="44">
        <v>1360</v>
      </c>
      <c r="G26" s="45">
        <v>69.13</v>
      </c>
      <c r="H26" s="42" t="s">
        <v>389</v>
      </c>
      <c r="I26" s="48" t="s">
        <v>390</v>
      </c>
    </row>
    <row r="27" spans="1:9">
      <c r="A27" s="41">
        <v>22</v>
      </c>
      <c r="B27" s="42" t="s">
        <v>388</v>
      </c>
      <c r="C27" s="42">
        <v>408</v>
      </c>
      <c r="D27" s="43">
        <v>945</v>
      </c>
      <c r="E27" s="44">
        <v>1089</v>
      </c>
      <c r="F27" s="44">
        <v>1360</v>
      </c>
      <c r="G27" s="45">
        <v>69.13</v>
      </c>
      <c r="H27" s="42" t="s">
        <v>389</v>
      </c>
      <c r="I27" s="48" t="s">
        <v>390</v>
      </c>
    </row>
    <row r="28" spans="1:9">
      <c r="A28" s="41">
        <v>23</v>
      </c>
      <c r="B28" s="42" t="s">
        <v>388</v>
      </c>
      <c r="C28" s="42">
        <v>409</v>
      </c>
      <c r="D28" s="43">
        <v>945</v>
      </c>
      <c r="E28" s="44">
        <v>1089</v>
      </c>
      <c r="F28" s="44">
        <v>1360</v>
      </c>
      <c r="G28" s="45">
        <v>69.13</v>
      </c>
      <c r="H28" s="42" t="s">
        <v>389</v>
      </c>
      <c r="I28" s="48" t="s">
        <v>390</v>
      </c>
    </row>
    <row r="29" spans="1:9">
      <c r="A29" s="41">
        <v>24</v>
      </c>
      <c r="B29" s="42" t="s">
        <v>388</v>
      </c>
      <c r="C29" s="42">
        <v>502</v>
      </c>
      <c r="D29" s="43">
        <v>945</v>
      </c>
      <c r="E29" s="44">
        <v>1089</v>
      </c>
      <c r="F29" s="44">
        <v>1360</v>
      </c>
      <c r="G29" s="45">
        <v>69.13</v>
      </c>
      <c r="H29" s="42" t="s">
        <v>389</v>
      </c>
      <c r="I29" s="48" t="s">
        <v>390</v>
      </c>
    </row>
    <row r="30" spans="1:9">
      <c r="A30" s="41">
        <v>25</v>
      </c>
      <c r="B30" s="42" t="s">
        <v>388</v>
      </c>
      <c r="C30" s="42">
        <v>503</v>
      </c>
      <c r="D30" s="43">
        <v>945</v>
      </c>
      <c r="E30" s="44">
        <v>1089</v>
      </c>
      <c r="F30" s="44">
        <v>1360</v>
      </c>
      <c r="G30" s="45">
        <v>69.13</v>
      </c>
      <c r="H30" s="42" t="s">
        <v>389</v>
      </c>
      <c r="I30" s="48" t="s">
        <v>390</v>
      </c>
    </row>
    <row r="31" spans="1:9">
      <c r="A31" s="41">
        <v>26</v>
      </c>
      <c r="B31" s="42" t="s">
        <v>388</v>
      </c>
      <c r="C31" s="42">
        <v>505</v>
      </c>
      <c r="D31" s="43">
        <v>945</v>
      </c>
      <c r="E31" s="44">
        <v>1089</v>
      </c>
      <c r="F31" s="44">
        <v>1360</v>
      </c>
      <c r="G31" s="45">
        <v>69.13</v>
      </c>
      <c r="H31" s="42" t="s">
        <v>389</v>
      </c>
      <c r="I31" s="48" t="s">
        <v>390</v>
      </c>
    </row>
    <row r="32" spans="1:9">
      <c r="A32" s="41">
        <v>27</v>
      </c>
      <c r="B32" s="42" t="s">
        <v>388</v>
      </c>
      <c r="C32" s="42">
        <v>506</v>
      </c>
      <c r="D32" s="43">
        <v>945</v>
      </c>
      <c r="E32" s="44">
        <v>1089</v>
      </c>
      <c r="F32" s="44">
        <v>1360</v>
      </c>
      <c r="G32" s="45">
        <v>69.13</v>
      </c>
      <c r="H32" s="42" t="s">
        <v>389</v>
      </c>
      <c r="I32" s="48" t="s">
        <v>390</v>
      </c>
    </row>
    <row r="33" spans="1:9">
      <c r="A33" s="41">
        <v>28</v>
      </c>
      <c r="B33" s="42" t="s">
        <v>388</v>
      </c>
      <c r="C33" s="42">
        <v>508</v>
      </c>
      <c r="D33" s="43">
        <v>945</v>
      </c>
      <c r="E33" s="44">
        <v>1089</v>
      </c>
      <c r="F33" s="44">
        <v>1360</v>
      </c>
      <c r="G33" s="45">
        <v>69.13</v>
      </c>
      <c r="H33" s="42" t="s">
        <v>389</v>
      </c>
      <c r="I33" s="48" t="s">
        <v>390</v>
      </c>
    </row>
    <row r="34" spans="1:9">
      <c r="A34" s="41">
        <v>29</v>
      </c>
      <c r="B34" s="42" t="s">
        <v>388</v>
      </c>
      <c r="C34" s="42">
        <v>509</v>
      </c>
      <c r="D34" s="43">
        <v>945</v>
      </c>
      <c r="E34" s="44">
        <v>1089</v>
      </c>
      <c r="F34" s="44">
        <v>1360</v>
      </c>
      <c r="G34" s="45">
        <v>69.13</v>
      </c>
      <c r="H34" s="42" t="s">
        <v>389</v>
      </c>
      <c r="I34" s="48" t="s">
        <v>390</v>
      </c>
    </row>
    <row r="35" spans="1:9">
      <c r="A35" s="41">
        <v>30</v>
      </c>
      <c r="B35" s="42" t="s">
        <v>391</v>
      </c>
      <c r="C35" s="42">
        <v>102</v>
      </c>
      <c r="D35" s="43">
        <v>1185</v>
      </c>
      <c r="E35" s="44">
        <v>1329</v>
      </c>
      <c r="F35" s="44">
        <v>1660</v>
      </c>
      <c r="G35" s="45">
        <v>84.38</v>
      </c>
      <c r="H35" s="42" t="s">
        <v>389</v>
      </c>
      <c r="I35" s="48" t="s">
        <v>390</v>
      </c>
    </row>
    <row r="36" spans="1:9">
      <c r="A36" s="41">
        <v>31</v>
      </c>
      <c r="B36" s="42" t="s">
        <v>391</v>
      </c>
      <c r="C36" s="42">
        <v>103</v>
      </c>
      <c r="D36" s="43">
        <v>1185</v>
      </c>
      <c r="E36" s="44">
        <v>1329</v>
      </c>
      <c r="F36" s="44">
        <v>1660</v>
      </c>
      <c r="G36" s="45">
        <v>84.38</v>
      </c>
      <c r="H36" s="42" t="s">
        <v>389</v>
      </c>
      <c r="I36" s="48" t="s">
        <v>390</v>
      </c>
    </row>
    <row r="37" spans="1:9">
      <c r="A37" s="41">
        <v>32</v>
      </c>
      <c r="B37" s="42" t="s">
        <v>391</v>
      </c>
      <c r="C37" s="42">
        <v>105</v>
      </c>
      <c r="D37" s="43">
        <v>1185</v>
      </c>
      <c r="E37" s="44">
        <v>1329</v>
      </c>
      <c r="F37" s="44">
        <v>1660</v>
      </c>
      <c r="G37" s="45">
        <v>84.38</v>
      </c>
      <c r="H37" s="42" t="s">
        <v>389</v>
      </c>
      <c r="I37" s="48" t="s">
        <v>390</v>
      </c>
    </row>
    <row r="38" spans="1:9">
      <c r="A38" s="41">
        <v>33</v>
      </c>
      <c r="B38" s="42" t="s">
        <v>391</v>
      </c>
      <c r="C38" s="42">
        <v>106</v>
      </c>
      <c r="D38" s="43">
        <v>1185</v>
      </c>
      <c r="E38" s="44">
        <v>1329</v>
      </c>
      <c r="F38" s="44">
        <v>1660</v>
      </c>
      <c r="G38" s="45">
        <v>84.38</v>
      </c>
      <c r="H38" s="42" t="s">
        <v>389</v>
      </c>
      <c r="I38" s="48" t="s">
        <v>390</v>
      </c>
    </row>
    <row r="39" spans="1:9">
      <c r="A39" s="41">
        <v>34</v>
      </c>
      <c r="B39" s="42" t="s">
        <v>391</v>
      </c>
      <c r="C39" s="42">
        <v>108</v>
      </c>
      <c r="D39" s="43">
        <v>1185</v>
      </c>
      <c r="E39" s="44">
        <v>1329</v>
      </c>
      <c r="F39" s="44">
        <v>1660</v>
      </c>
      <c r="G39" s="45">
        <v>84.38</v>
      </c>
      <c r="H39" s="42" t="s">
        <v>389</v>
      </c>
      <c r="I39" s="48" t="s">
        <v>390</v>
      </c>
    </row>
    <row r="40" spans="1:9">
      <c r="A40" s="41">
        <v>35</v>
      </c>
      <c r="B40" s="42" t="s">
        <v>391</v>
      </c>
      <c r="C40" s="42">
        <v>201</v>
      </c>
      <c r="D40" s="43">
        <v>1185</v>
      </c>
      <c r="E40" s="44">
        <v>1329</v>
      </c>
      <c r="F40" s="44">
        <v>1660</v>
      </c>
      <c r="G40" s="45">
        <v>84.38</v>
      </c>
      <c r="H40" s="42" t="s">
        <v>389</v>
      </c>
      <c r="I40" s="48" t="s">
        <v>390</v>
      </c>
    </row>
    <row r="41" spans="1:9">
      <c r="A41" s="41">
        <v>36</v>
      </c>
      <c r="B41" s="42" t="s">
        <v>391</v>
      </c>
      <c r="C41" s="42">
        <v>203</v>
      </c>
      <c r="D41" s="43">
        <v>1185</v>
      </c>
      <c r="E41" s="44">
        <v>1329</v>
      </c>
      <c r="F41" s="44">
        <v>1660</v>
      </c>
      <c r="G41" s="45">
        <v>84.38</v>
      </c>
      <c r="H41" s="42" t="s">
        <v>389</v>
      </c>
      <c r="I41" s="48" t="s">
        <v>390</v>
      </c>
    </row>
    <row r="42" spans="1:9">
      <c r="A42" s="41">
        <v>37</v>
      </c>
      <c r="B42" s="42" t="s">
        <v>391</v>
      </c>
      <c r="C42" s="42">
        <v>204</v>
      </c>
      <c r="D42" s="43">
        <v>1185</v>
      </c>
      <c r="E42" s="44">
        <v>1329</v>
      </c>
      <c r="F42" s="44">
        <v>1660</v>
      </c>
      <c r="G42" s="45">
        <v>84.38</v>
      </c>
      <c r="H42" s="42" t="s">
        <v>389</v>
      </c>
      <c r="I42" s="48" t="s">
        <v>390</v>
      </c>
    </row>
    <row r="43" spans="1:9">
      <c r="A43" s="41">
        <v>38</v>
      </c>
      <c r="B43" s="42" t="s">
        <v>391</v>
      </c>
      <c r="C43" s="42">
        <v>206</v>
      </c>
      <c r="D43" s="43">
        <v>1185</v>
      </c>
      <c r="E43" s="44">
        <v>1329</v>
      </c>
      <c r="F43" s="44">
        <v>1660</v>
      </c>
      <c r="G43" s="45">
        <v>84.38</v>
      </c>
      <c r="H43" s="42" t="s">
        <v>389</v>
      </c>
      <c r="I43" s="48" t="s">
        <v>390</v>
      </c>
    </row>
    <row r="44" spans="1:9">
      <c r="A44" s="41">
        <v>39</v>
      </c>
      <c r="B44" s="42" t="s">
        <v>391</v>
      </c>
      <c r="C44" s="42">
        <v>207</v>
      </c>
      <c r="D44" s="43">
        <v>1185</v>
      </c>
      <c r="E44" s="44">
        <v>1329</v>
      </c>
      <c r="F44" s="44">
        <v>1660</v>
      </c>
      <c r="G44" s="45">
        <v>84.38</v>
      </c>
      <c r="H44" s="42" t="s">
        <v>389</v>
      </c>
      <c r="I44" s="48" t="s">
        <v>390</v>
      </c>
    </row>
    <row r="45" spans="1:9">
      <c r="A45" s="41">
        <v>40</v>
      </c>
      <c r="B45" s="42" t="s">
        <v>391</v>
      </c>
      <c r="C45" s="42">
        <v>301</v>
      </c>
      <c r="D45" s="43">
        <v>1185</v>
      </c>
      <c r="E45" s="44">
        <v>1329</v>
      </c>
      <c r="F45" s="44">
        <v>1660</v>
      </c>
      <c r="G45" s="45">
        <v>84.38</v>
      </c>
      <c r="H45" s="42" t="s">
        <v>389</v>
      </c>
      <c r="I45" s="48" t="s">
        <v>390</v>
      </c>
    </row>
    <row r="46" spans="1:9">
      <c r="A46" s="41">
        <v>41</v>
      </c>
      <c r="B46" s="42" t="s">
        <v>391</v>
      </c>
      <c r="C46" s="42">
        <v>302</v>
      </c>
      <c r="D46" s="43">
        <v>1185</v>
      </c>
      <c r="E46" s="44">
        <v>1329</v>
      </c>
      <c r="F46" s="44">
        <v>1660</v>
      </c>
      <c r="G46" s="45">
        <v>84.38</v>
      </c>
      <c r="H46" s="42" t="s">
        <v>389</v>
      </c>
      <c r="I46" s="48" t="s">
        <v>390</v>
      </c>
    </row>
    <row r="47" spans="1:9">
      <c r="A47" s="41">
        <v>42</v>
      </c>
      <c r="B47" s="42" t="s">
        <v>391</v>
      </c>
      <c r="C47" s="42">
        <v>304</v>
      </c>
      <c r="D47" s="43">
        <v>1185</v>
      </c>
      <c r="E47" s="44">
        <v>1329</v>
      </c>
      <c r="F47" s="44">
        <v>1660</v>
      </c>
      <c r="G47" s="45">
        <v>84.38</v>
      </c>
      <c r="H47" s="42" t="s">
        <v>389</v>
      </c>
      <c r="I47" s="48" t="s">
        <v>390</v>
      </c>
    </row>
    <row r="48" spans="1:9">
      <c r="A48" s="41">
        <v>43</v>
      </c>
      <c r="B48" s="42" t="s">
        <v>391</v>
      </c>
      <c r="C48" s="42">
        <v>305</v>
      </c>
      <c r="D48" s="43">
        <v>1185</v>
      </c>
      <c r="E48" s="44">
        <v>1329</v>
      </c>
      <c r="F48" s="44">
        <v>1660</v>
      </c>
      <c r="G48" s="45">
        <v>84.38</v>
      </c>
      <c r="H48" s="42" t="s">
        <v>389</v>
      </c>
      <c r="I48" s="48" t="s">
        <v>390</v>
      </c>
    </row>
    <row r="49" spans="1:9">
      <c r="A49" s="41">
        <v>44</v>
      </c>
      <c r="B49" s="42" t="s">
        <v>391</v>
      </c>
      <c r="C49" s="42">
        <v>308</v>
      </c>
      <c r="D49" s="43">
        <v>1185</v>
      </c>
      <c r="E49" s="44">
        <v>1329</v>
      </c>
      <c r="F49" s="44">
        <v>1660</v>
      </c>
      <c r="G49" s="45">
        <v>84.38</v>
      </c>
      <c r="H49" s="42" t="s">
        <v>389</v>
      </c>
      <c r="I49" s="48" t="s">
        <v>390</v>
      </c>
    </row>
    <row r="50" spans="1:9">
      <c r="A50" s="41">
        <v>45</v>
      </c>
      <c r="B50" s="42" t="s">
        <v>391</v>
      </c>
      <c r="C50" s="42">
        <v>402</v>
      </c>
      <c r="D50" s="43">
        <v>1185</v>
      </c>
      <c r="E50" s="44">
        <v>1329</v>
      </c>
      <c r="F50" s="44">
        <v>1660</v>
      </c>
      <c r="G50" s="45">
        <v>84.38</v>
      </c>
      <c r="H50" s="42" t="s">
        <v>389</v>
      </c>
      <c r="I50" s="48" t="s">
        <v>390</v>
      </c>
    </row>
    <row r="51" spans="1:9">
      <c r="A51" s="41">
        <v>46</v>
      </c>
      <c r="B51" s="42" t="s">
        <v>391</v>
      </c>
      <c r="C51" s="42">
        <v>403</v>
      </c>
      <c r="D51" s="43">
        <v>1185</v>
      </c>
      <c r="E51" s="44">
        <v>1329</v>
      </c>
      <c r="F51" s="44">
        <v>1660</v>
      </c>
      <c r="G51" s="45">
        <v>84.38</v>
      </c>
      <c r="H51" s="42" t="s">
        <v>389</v>
      </c>
      <c r="I51" s="48" t="s">
        <v>390</v>
      </c>
    </row>
    <row r="52" spans="1:9">
      <c r="A52" s="41">
        <v>47</v>
      </c>
      <c r="B52" s="42" t="s">
        <v>391</v>
      </c>
      <c r="C52" s="42">
        <v>405</v>
      </c>
      <c r="D52" s="43">
        <v>1185</v>
      </c>
      <c r="E52" s="44">
        <v>1329</v>
      </c>
      <c r="F52" s="44">
        <v>1660</v>
      </c>
      <c r="G52" s="45">
        <v>84.38</v>
      </c>
      <c r="H52" s="42" t="s">
        <v>389</v>
      </c>
      <c r="I52" s="48" t="s">
        <v>390</v>
      </c>
    </row>
    <row r="53" spans="1:9">
      <c r="A53" s="41">
        <v>48</v>
      </c>
      <c r="B53" s="42" t="s">
        <v>391</v>
      </c>
      <c r="C53" s="42">
        <v>406</v>
      </c>
      <c r="D53" s="43">
        <v>1185</v>
      </c>
      <c r="E53" s="44">
        <v>1329</v>
      </c>
      <c r="F53" s="44">
        <v>1660</v>
      </c>
      <c r="G53" s="45">
        <v>84.38</v>
      </c>
      <c r="H53" s="42" t="s">
        <v>389</v>
      </c>
      <c r="I53" s="48" t="s">
        <v>390</v>
      </c>
    </row>
    <row r="54" spans="1:9">
      <c r="A54" s="41">
        <v>49</v>
      </c>
      <c r="B54" s="42" t="s">
        <v>391</v>
      </c>
      <c r="C54" s="42">
        <v>408</v>
      </c>
      <c r="D54" s="43">
        <v>1185</v>
      </c>
      <c r="E54" s="44">
        <v>1329</v>
      </c>
      <c r="F54" s="44">
        <v>1660</v>
      </c>
      <c r="G54" s="45">
        <v>84.38</v>
      </c>
      <c r="H54" s="42" t="s">
        <v>389</v>
      </c>
      <c r="I54" s="48" t="s">
        <v>390</v>
      </c>
    </row>
    <row r="55" spans="1:9">
      <c r="A55" s="41">
        <v>50</v>
      </c>
      <c r="B55" s="42" t="s">
        <v>391</v>
      </c>
      <c r="C55" s="42">
        <v>501</v>
      </c>
      <c r="D55" s="43">
        <v>1185</v>
      </c>
      <c r="E55" s="44">
        <v>1329</v>
      </c>
      <c r="F55" s="44">
        <v>1660</v>
      </c>
      <c r="G55" s="45">
        <v>84.38</v>
      </c>
      <c r="H55" s="42" t="s">
        <v>389</v>
      </c>
      <c r="I55" s="48" t="s">
        <v>390</v>
      </c>
    </row>
    <row r="56" spans="1:9">
      <c r="A56" s="41">
        <v>51</v>
      </c>
      <c r="B56" s="42" t="s">
        <v>391</v>
      </c>
      <c r="C56" s="42">
        <v>503</v>
      </c>
      <c r="D56" s="43">
        <v>1185</v>
      </c>
      <c r="E56" s="44">
        <v>1329</v>
      </c>
      <c r="F56" s="44">
        <v>1660</v>
      </c>
      <c r="G56" s="45">
        <v>84.38</v>
      </c>
      <c r="H56" s="42" t="s">
        <v>389</v>
      </c>
      <c r="I56" s="48" t="s">
        <v>390</v>
      </c>
    </row>
    <row r="57" spans="1:9">
      <c r="A57" s="41">
        <v>52</v>
      </c>
      <c r="B57" s="42" t="s">
        <v>391</v>
      </c>
      <c r="C57" s="42">
        <v>504</v>
      </c>
      <c r="D57" s="43">
        <v>1185</v>
      </c>
      <c r="E57" s="44">
        <v>1329</v>
      </c>
      <c r="F57" s="44">
        <v>1660</v>
      </c>
      <c r="G57" s="45">
        <v>84.38</v>
      </c>
      <c r="H57" s="42" t="s">
        <v>389</v>
      </c>
      <c r="I57" s="48" t="s">
        <v>390</v>
      </c>
    </row>
    <row r="58" spans="1:9">
      <c r="A58" s="41">
        <v>53</v>
      </c>
      <c r="B58" s="42" t="s">
        <v>391</v>
      </c>
      <c r="C58" s="42">
        <v>506</v>
      </c>
      <c r="D58" s="43">
        <v>1185</v>
      </c>
      <c r="E58" s="44">
        <v>1329</v>
      </c>
      <c r="F58" s="44">
        <v>1660</v>
      </c>
      <c r="G58" s="45">
        <v>84.38</v>
      </c>
      <c r="H58" s="42" t="s">
        <v>389</v>
      </c>
      <c r="I58" s="48" t="s">
        <v>390</v>
      </c>
    </row>
    <row r="59" spans="1:9">
      <c r="A59" s="41">
        <v>54</v>
      </c>
      <c r="B59" s="42" t="s">
        <v>391</v>
      </c>
      <c r="C59" s="42">
        <v>507</v>
      </c>
      <c r="D59" s="43">
        <v>1185</v>
      </c>
      <c r="E59" s="44">
        <v>1329</v>
      </c>
      <c r="F59" s="44">
        <v>1660</v>
      </c>
      <c r="G59" s="45">
        <v>84.38</v>
      </c>
      <c r="H59" s="42" t="s">
        <v>389</v>
      </c>
      <c r="I59" s="48" t="s">
        <v>390</v>
      </c>
    </row>
    <row r="60" spans="1:9">
      <c r="A60" s="41">
        <v>55</v>
      </c>
      <c r="B60" s="42" t="s">
        <v>391</v>
      </c>
      <c r="C60" s="42">
        <v>601</v>
      </c>
      <c r="D60" s="43">
        <v>1185</v>
      </c>
      <c r="E60" s="44">
        <v>1329</v>
      </c>
      <c r="F60" s="44">
        <v>1660</v>
      </c>
      <c r="G60" s="45">
        <v>84.38</v>
      </c>
      <c r="H60" s="42" t="s">
        <v>389</v>
      </c>
      <c r="I60" s="48" t="s">
        <v>390</v>
      </c>
    </row>
    <row r="61" spans="1:9">
      <c r="A61" s="41">
        <v>56</v>
      </c>
      <c r="B61" s="42" t="s">
        <v>391</v>
      </c>
      <c r="C61" s="42">
        <v>602</v>
      </c>
      <c r="D61" s="43">
        <v>1185</v>
      </c>
      <c r="E61" s="44">
        <v>1329</v>
      </c>
      <c r="F61" s="44">
        <v>1660</v>
      </c>
      <c r="G61" s="45">
        <v>84.38</v>
      </c>
      <c r="H61" s="42" t="s">
        <v>389</v>
      </c>
      <c r="I61" s="48" t="s">
        <v>390</v>
      </c>
    </row>
    <row r="62" spans="1:9">
      <c r="A62" s="41">
        <v>57</v>
      </c>
      <c r="B62" s="42" t="s">
        <v>391</v>
      </c>
      <c r="C62" s="42">
        <v>604</v>
      </c>
      <c r="D62" s="43">
        <v>1185</v>
      </c>
      <c r="E62" s="44">
        <v>1329</v>
      </c>
      <c r="F62" s="44">
        <v>1660</v>
      </c>
      <c r="G62" s="45">
        <v>84.38</v>
      </c>
      <c r="H62" s="42" t="s">
        <v>389</v>
      </c>
      <c r="I62" s="48" t="s">
        <v>390</v>
      </c>
    </row>
    <row r="63" spans="1:9">
      <c r="A63" s="41">
        <v>58</v>
      </c>
      <c r="B63" s="42" t="s">
        <v>391</v>
      </c>
      <c r="C63" s="42">
        <v>605</v>
      </c>
      <c r="D63" s="43">
        <v>1185</v>
      </c>
      <c r="E63" s="44">
        <v>1329</v>
      </c>
      <c r="F63" s="44">
        <v>1660</v>
      </c>
      <c r="G63" s="45">
        <v>84.38</v>
      </c>
      <c r="H63" s="42" t="s">
        <v>389</v>
      </c>
      <c r="I63" s="48" t="s">
        <v>390</v>
      </c>
    </row>
    <row r="64" spans="1:9">
      <c r="A64" s="41">
        <v>59</v>
      </c>
      <c r="B64" s="42" t="s">
        <v>391</v>
      </c>
      <c r="C64" s="42">
        <v>607</v>
      </c>
      <c r="D64" s="43">
        <v>1185</v>
      </c>
      <c r="E64" s="44">
        <v>1329</v>
      </c>
      <c r="F64" s="44">
        <v>1660</v>
      </c>
      <c r="G64" s="45">
        <v>84.38</v>
      </c>
      <c r="H64" s="42" t="s">
        <v>389</v>
      </c>
      <c r="I64" s="48" t="s">
        <v>390</v>
      </c>
    </row>
    <row r="65" spans="1:9">
      <c r="A65" s="41">
        <v>60</v>
      </c>
      <c r="B65" s="42" t="s">
        <v>391</v>
      </c>
      <c r="C65" s="42">
        <v>608</v>
      </c>
      <c r="D65" s="43">
        <v>1185</v>
      </c>
      <c r="E65" s="44">
        <v>1329</v>
      </c>
      <c r="F65" s="44">
        <v>1660</v>
      </c>
      <c r="G65" s="45">
        <v>84.38</v>
      </c>
      <c r="H65" s="42" t="s">
        <v>389</v>
      </c>
      <c r="I65" s="48" t="s">
        <v>390</v>
      </c>
    </row>
    <row r="66" spans="1:9">
      <c r="A66" s="41">
        <v>61</v>
      </c>
      <c r="B66" s="42" t="s">
        <v>392</v>
      </c>
      <c r="C66" s="42">
        <v>102</v>
      </c>
      <c r="D66" s="43">
        <v>1185</v>
      </c>
      <c r="E66" s="44">
        <v>1329</v>
      </c>
      <c r="F66" s="44">
        <v>1660</v>
      </c>
      <c r="G66" s="45">
        <v>84.38</v>
      </c>
      <c r="H66" s="42" t="s">
        <v>389</v>
      </c>
      <c r="I66" s="48" t="s">
        <v>390</v>
      </c>
    </row>
    <row r="67" spans="1:9">
      <c r="A67" s="41">
        <v>62</v>
      </c>
      <c r="B67" s="42" t="s">
        <v>392</v>
      </c>
      <c r="C67" s="42">
        <v>103</v>
      </c>
      <c r="D67" s="43">
        <v>1185</v>
      </c>
      <c r="E67" s="44">
        <v>1329</v>
      </c>
      <c r="F67" s="44">
        <v>1660</v>
      </c>
      <c r="G67" s="45">
        <v>84.38</v>
      </c>
      <c r="H67" s="42" t="s">
        <v>389</v>
      </c>
      <c r="I67" s="48" t="s">
        <v>390</v>
      </c>
    </row>
    <row r="68" spans="1:9">
      <c r="A68" s="41">
        <v>63</v>
      </c>
      <c r="B68" s="42" t="s">
        <v>392</v>
      </c>
      <c r="C68" s="42">
        <v>105</v>
      </c>
      <c r="D68" s="43">
        <v>1185</v>
      </c>
      <c r="E68" s="44">
        <v>1329</v>
      </c>
      <c r="F68" s="44">
        <v>1660</v>
      </c>
      <c r="G68" s="45">
        <v>84.38</v>
      </c>
      <c r="H68" s="42" t="s">
        <v>389</v>
      </c>
      <c r="I68" s="48" t="s">
        <v>390</v>
      </c>
    </row>
    <row r="69" spans="1:9">
      <c r="A69" s="41">
        <v>64</v>
      </c>
      <c r="B69" s="42" t="s">
        <v>392</v>
      </c>
      <c r="C69" s="42">
        <v>106</v>
      </c>
      <c r="D69" s="43">
        <v>1185</v>
      </c>
      <c r="E69" s="44">
        <v>1329</v>
      </c>
      <c r="F69" s="44">
        <v>1660</v>
      </c>
      <c r="G69" s="45">
        <v>84.38</v>
      </c>
      <c r="H69" s="42" t="s">
        <v>389</v>
      </c>
      <c r="I69" s="48" t="s">
        <v>390</v>
      </c>
    </row>
    <row r="70" spans="1:9">
      <c r="A70" s="41">
        <v>65</v>
      </c>
      <c r="B70" s="42" t="s">
        <v>392</v>
      </c>
      <c r="C70" s="42">
        <v>201</v>
      </c>
      <c r="D70" s="43">
        <v>1185</v>
      </c>
      <c r="E70" s="44">
        <v>1329</v>
      </c>
      <c r="F70" s="44">
        <v>1660</v>
      </c>
      <c r="G70" s="45">
        <v>84.38</v>
      </c>
      <c r="H70" s="42" t="s">
        <v>393</v>
      </c>
      <c r="I70" s="48" t="s">
        <v>390</v>
      </c>
    </row>
    <row r="71" spans="1:9">
      <c r="A71" s="41">
        <v>66</v>
      </c>
      <c r="B71" s="42" t="s">
        <v>392</v>
      </c>
      <c r="C71" s="42">
        <v>202</v>
      </c>
      <c r="D71" s="43">
        <v>1185</v>
      </c>
      <c r="E71" s="44">
        <v>1329</v>
      </c>
      <c r="F71" s="44">
        <v>1660</v>
      </c>
      <c r="G71" s="45">
        <v>84.38</v>
      </c>
      <c r="H71" s="42" t="s">
        <v>393</v>
      </c>
      <c r="I71" s="48" t="s">
        <v>390</v>
      </c>
    </row>
    <row r="72" spans="1:9">
      <c r="A72" s="41">
        <v>67</v>
      </c>
      <c r="B72" s="42" t="s">
        <v>392</v>
      </c>
      <c r="C72" s="42">
        <v>204</v>
      </c>
      <c r="D72" s="43">
        <v>1185</v>
      </c>
      <c r="E72" s="44">
        <v>1329</v>
      </c>
      <c r="F72" s="44">
        <v>1660</v>
      </c>
      <c r="G72" s="45">
        <v>84.38</v>
      </c>
      <c r="H72" s="42" t="s">
        <v>389</v>
      </c>
      <c r="I72" s="48" t="s">
        <v>390</v>
      </c>
    </row>
    <row r="73" spans="1:9">
      <c r="A73" s="41">
        <v>68</v>
      </c>
      <c r="B73" s="42" t="s">
        <v>392</v>
      </c>
      <c r="C73" s="42">
        <v>205</v>
      </c>
      <c r="D73" s="43">
        <v>1185</v>
      </c>
      <c r="E73" s="44">
        <v>1329</v>
      </c>
      <c r="F73" s="44">
        <v>1660</v>
      </c>
      <c r="G73" s="45">
        <v>84.38</v>
      </c>
      <c r="H73" s="42" t="s">
        <v>393</v>
      </c>
      <c r="I73" s="48" t="s">
        <v>390</v>
      </c>
    </row>
    <row r="74" spans="1:9">
      <c r="A74" s="41">
        <v>69</v>
      </c>
      <c r="B74" s="42" t="s">
        <v>392</v>
      </c>
      <c r="C74" s="42">
        <v>207</v>
      </c>
      <c r="D74" s="43">
        <v>1185</v>
      </c>
      <c r="E74" s="44">
        <v>1329</v>
      </c>
      <c r="F74" s="44">
        <v>1660</v>
      </c>
      <c r="G74" s="45">
        <v>84.38</v>
      </c>
      <c r="H74" s="42" t="s">
        <v>389</v>
      </c>
      <c r="I74" s="48" t="s">
        <v>390</v>
      </c>
    </row>
    <row r="75" spans="1:9">
      <c r="A75" s="41">
        <v>70</v>
      </c>
      <c r="B75" s="42" t="s">
        <v>392</v>
      </c>
      <c r="C75" s="42">
        <v>301</v>
      </c>
      <c r="D75" s="43">
        <v>1185</v>
      </c>
      <c r="E75" s="44">
        <v>1329</v>
      </c>
      <c r="F75" s="44">
        <v>1660</v>
      </c>
      <c r="G75" s="45">
        <v>84.38</v>
      </c>
      <c r="H75" s="42" t="s">
        <v>389</v>
      </c>
      <c r="I75" s="48" t="s">
        <v>390</v>
      </c>
    </row>
    <row r="76" spans="1:9">
      <c r="A76" s="41">
        <v>71</v>
      </c>
      <c r="B76" s="42" t="s">
        <v>392</v>
      </c>
      <c r="C76" s="42">
        <v>303</v>
      </c>
      <c r="D76" s="43">
        <v>1185</v>
      </c>
      <c r="E76" s="44">
        <v>1329</v>
      </c>
      <c r="F76" s="44">
        <v>1660</v>
      </c>
      <c r="G76" s="45">
        <v>84.38</v>
      </c>
      <c r="H76" s="42" t="s">
        <v>393</v>
      </c>
      <c r="I76" s="48" t="s">
        <v>390</v>
      </c>
    </row>
    <row r="77" spans="1:9">
      <c r="A77" s="41">
        <v>72</v>
      </c>
      <c r="B77" s="42" t="s">
        <v>392</v>
      </c>
      <c r="C77" s="42">
        <v>304</v>
      </c>
      <c r="D77" s="43">
        <v>1185</v>
      </c>
      <c r="E77" s="44">
        <v>1329</v>
      </c>
      <c r="F77" s="44">
        <v>1660</v>
      </c>
      <c r="G77" s="45">
        <v>84.38</v>
      </c>
      <c r="H77" s="42" t="s">
        <v>389</v>
      </c>
      <c r="I77" s="48" t="s">
        <v>390</v>
      </c>
    </row>
    <row r="78" spans="1:9">
      <c r="A78" s="41">
        <v>73</v>
      </c>
      <c r="B78" s="42" t="s">
        <v>392</v>
      </c>
      <c r="C78" s="42">
        <v>306</v>
      </c>
      <c r="D78" s="43">
        <v>1185</v>
      </c>
      <c r="E78" s="44">
        <v>1329</v>
      </c>
      <c r="F78" s="44">
        <v>1660</v>
      </c>
      <c r="G78" s="45">
        <v>84.38</v>
      </c>
      <c r="H78" s="42" t="s">
        <v>389</v>
      </c>
      <c r="I78" s="48" t="s">
        <v>390</v>
      </c>
    </row>
    <row r="79" spans="1:9">
      <c r="A79" s="41">
        <v>74</v>
      </c>
      <c r="B79" s="42" t="s">
        <v>392</v>
      </c>
      <c r="C79" s="42">
        <v>307</v>
      </c>
      <c r="D79" s="43">
        <v>1185</v>
      </c>
      <c r="E79" s="44">
        <v>1329</v>
      </c>
      <c r="F79" s="44">
        <v>1660</v>
      </c>
      <c r="G79" s="45">
        <v>84.38</v>
      </c>
      <c r="H79" s="42" t="s">
        <v>389</v>
      </c>
      <c r="I79" s="48" t="s">
        <v>390</v>
      </c>
    </row>
    <row r="80" spans="1:9">
      <c r="A80" s="41">
        <v>75</v>
      </c>
      <c r="B80" s="42" t="s">
        <v>392</v>
      </c>
      <c r="C80" s="42">
        <v>402</v>
      </c>
      <c r="D80" s="43">
        <v>1185</v>
      </c>
      <c r="E80" s="44">
        <v>1329</v>
      </c>
      <c r="F80" s="44">
        <v>1660</v>
      </c>
      <c r="G80" s="45">
        <v>84.38</v>
      </c>
      <c r="H80" s="42" t="s">
        <v>389</v>
      </c>
      <c r="I80" s="48" t="s">
        <v>390</v>
      </c>
    </row>
    <row r="81" spans="1:9">
      <c r="A81" s="41">
        <v>76</v>
      </c>
      <c r="B81" s="42" t="s">
        <v>392</v>
      </c>
      <c r="C81" s="42">
        <v>405</v>
      </c>
      <c r="D81" s="43">
        <v>1185</v>
      </c>
      <c r="E81" s="44">
        <v>1329</v>
      </c>
      <c r="F81" s="44">
        <v>1660</v>
      </c>
      <c r="G81" s="45">
        <v>84.38</v>
      </c>
      <c r="H81" s="42" t="s">
        <v>389</v>
      </c>
      <c r="I81" s="48" t="s">
        <v>390</v>
      </c>
    </row>
    <row r="82" spans="1:9">
      <c r="A82" s="41">
        <v>77</v>
      </c>
      <c r="B82" s="42" t="s">
        <v>392</v>
      </c>
      <c r="C82" s="42">
        <v>406</v>
      </c>
      <c r="D82" s="43">
        <v>1185</v>
      </c>
      <c r="E82" s="44">
        <v>1329</v>
      </c>
      <c r="F82" s="44">
        <v>1660</v>
      </c>
      <c r="G82" s="45">
        <v>84.38</v>
      </c>
      <c r="H82" s="42" t="s">
        <v>389</v>
      </c>
      <c r="I82" s="48" t="s">
        <v>390</v>
      </c>
    </row>
    <row r="83" spans="1:9">
      <c r="A83" s="41">
        <v>78</v>
      </c>
      <c r="B83" s="42" t="s">
        <v>392</v>
      </c>
      <c r="C83" s="42">
        <v>501</v>
      </c>
      <c r="D83" s="43">
        <v>1185</v>
      </c>
      <c r="E83" s="44">
        <v>1329</v>
      </c>
      <c r="F83" s="44">
        <v>1660</v>
      </c>
      <c r="G83" s="45">
        <v>84.38</v>
      </c>
      <c r="H83" s="42" t="s">
        <v>389</v>
      </c>
      <c r="I83" s="48" t="s">
        <v>390</v>
      </c>
    </row>
    <row r="84" spans="1:9">
      <c r="A84" s="41">
        <v>79</v>
      </c>
      <c r="B84" s="42" t="s">
        <v>392</v>
      </c>
      <c r="C84" s="42">
        <v>502</v>
      </c>
      <c r="D84" s="43">
        <v>1185</v>
      </c>
      <c r="E84" s="44">
        <v>1329</v>
      </c>
      <c r="F84" s="44">
        <v>1660</v>
      </c>
      <c r="G84" s="45">
        <v>84.38</v>
      </c>
      <c r="H84" s="42" t="s">
        <v>389</v>
      </c>
      <c r="I84" s="48" t="s">
        <v>390</v>
      </c>
    </row>
    <row r="85" spans="1:9">
      <c r="A85" s="41">
        <v>80</v>
      </c>
      <c r="B85" s="42" t="s">
        <v>392</v>
      </c>
      <c r="C85" s="42">
        <v>504</v>
      </c>
      <c r="D85" s="43">
        <v>1185</v>
      </c>
      <c r="E85" s="44">
        <v>1329</v>
      </c>
      <c r="F85" s="44">
        <v>1660</v>
      </c>
      <c r="G85" s="45">
        <v>84.38</v>
      </c>
      <c r="H85" s="42" t="s">
        <v>389</v>
      </c>
      <c r="I85" s="48" t="s">
        <v>390</v>
      </c>
    </row>
    <row r="86" spans="1:9">
      <c r="A86" s="41">
        <v>81</v>
      </c>
      <c r="B86" s="42" t="s">
        <v>392</v>
      </c>
      <c r="C86" s="42">
        <v>505</v>
      </c>
      <c r="D86" s="43">
        <v>1185</v>
      </c>
      <c r="E86" s="44">
        <v>1329</v>
      </c>
      <c r="F86" s="44">
        <v>1660</v>
      </c>
      <c r="G86" s="45">
        <v>84.38</v>
      </c>
      <c r="H86" s="42" t="s">
        <v>389</v>
      </c>
      <c r="I86" s="48" t="s">
        <v>390</v>
      </c>
    </row>
    <row r="87" spans="1:9">
      <c r="A87" s="41">
        <v>82</v>
      </c>
      <c r="B87" s="42" t="s">
        <v>392</v>
      </c>
      <c r="C87" s="42">
        <v>507</v>
      </c>
      <c r="D87" s="43">
        <v>1185</v>
      </c>
      <c r="E87" s="44">
        <v>1329</v>
      </c>
      <c r="F87" s="44">
        <v>1660</v>
      </c>
      <c r="G87" s="45">
        <v>84.38</v>
      </c>
      <c r="H87" s="42" t="s">
        <v>389</v>
      </c>
      <c r="I87" s="48" t="s">
        <v>390</v>
      </c>
    </row>
    <row r="88" spans="1:9">
      <c r="A88" s="41">
        <v>83</v>
      </c>
      <c r="B88" s="42" t="s">
        <v>392</v>
      </c>
      <c r="C88" s="42">
        <v>601</v>
      </c>
      <c r="D88" s="43">
        <v>1185</v>
      </c>
      <c r="E88" s="44">
        <v>1329</v>
      </c>
      <c r="F88" s="44">
        <v>1660</v>
      </c>
      <c r="G88" s="45">
        <v>84.38</v>
      </c>
      <c r="H88" s="42" t="s">
        <v>389</v>
      </c>
      <c r="I88" s="48" t="s">
        <v>390</v>
      </c>
    </row>
    <row r="89" spans="1:9">
      <c r="A89" s="41">
        <v>84</v>
      </c>
      <c r="B89" s="42" t="s">
        <v>392</v>
      </c>
      <c r="C89" s="42">
        <v>603</v>
      </c>
      <c r="D89" s="43">
        <v>1185</v>
      </c>
      <c r="E89" s="44">
        <v>1329</v>
      </c>
      <c r="F89" s="44">
        <v>1660</v>
      </c>
      <c r="G89" s="45">
        <v>84.38</v>
      </c>
      <c r="H89" s="42" t="s">
        <v>393</v>
      </c>
      <c r="I89" s="48" t="s">
        <v>390</v>
      </c>
    </row>
    <row r="90" spans="1:9">
      <c r="A90" s="41">
        <v>85</v>
      </c>
      <c r="B90" s="42" t="s">
        <v>392</v>
      </c>
      <c r="C90" s="42">
        <v>604</v>
      </c>
      <c r="D90" s="43">
        <v>1185</v>
      </c>
      <c r="E90" s="44">
        <v>1329</v>
      </c>
      <c r="F90" s="44">
        <v>1660</v>
      </c>
      <c r="G90" s="45">
        <v>84.38</v>
      </c>
      <c r="H90" s="42" t="s">
        <v>389</v>
      </c>
      <c r="I90" s="48" t="s">
        <v>390</v>
      </c>
    </row>
    <row r="91" spans="1:9">
      <c r="A91" s="41">
        <v>86</v>
      </c>
      <c r="B91" s="42" t="s">
        <v>392</v>
      </c>
      <c r="C91" s="42">
        <v>606</v>
      </c>
      <c r="D91" s="43">
        <v>1185</v>
      </c>
      <c r="E91" s="44">
        <v>1329</v>
      </c>
      <c r="F91" s="44">
        <v>1660</v>
      </c>
      <c r="G91" s="45">
        <v>84.38</v>
      </c>
      <c r="H91" s="42" t="s">
        <v>389</v>
      </c>
      <c r="I91" s="48" t="s">
        <v>390</v>
      </c>
    </row>
    <row r="92" spans="1:9">
      <c r="A92" s="41">
        <v>87</v>
      </c>
      <c r="B92" s="42" t="s">
        <v>392</v>
      </c>
      <c r="C92" s="42">
        <v>607</v>
      </c>
      <c r="D92" s="43">
        <v>1185</v>
      </c>
      <c r="E92" s="44">
        <v>1329</v>
      </c>
      <c r="F92" s="44">
        <v>1660</v>
      </c>
      <c r="G92" s="45">
        <v>84.38</v>
      </c>
      <c r="H92" s="42" t="s">
        <v>389</v>
      </c>
      <c r="I92" s="48" t="s">
        <v>390</v>
      </c>
    </row>
    <row r="93" spans="1:9">
      <c r="A93" s="41">
        <v>88</v>
      </c>
      <c r="B93" s="42" t="s">
        <v>394</v>
      </c>
      <c r="C93" s="42">
        <v>102</v>
      </c>
      <c r="D93" s="43">
        <v>1185</v>
      </c>
      <c r="E93" s="44">
        <v>1329</v>
      </c>
      <c r="F93" s="44">
        <v>1660</v>
      </c>
      <c r="G93" s="45">
        <v>84.38</v>
      </c>
      <c r="H93" s="42" t="s">
        <v>393</v>
      </c>
      <c r="I93" s="48" t="s">
        <v>390</v>
      </c>
    </row>
    <row r="94" spans="1:9">
      <c r="A94" s="41">
        <v>89</v>
      </c>
      <c r="B94" s="42" t="s">
        <v>394</v>
      </c>
      <c r="C94" s="42">
        <v>103</v>
      </c>
      <c r="D94" s="43">
        <v>1185</v>
      </c>
      <c r="E94" s="44">
        <v>1329</v>
      </c>
      <c r="F94" s="44">
        <v>1660</v>
      </c>
      <c r="G94" s="45">
        <v>84.38</v>
      </c>
      <c r="H94" s="42" t="s">
        <v>389</v>
      </c>
      <c r="I94" s="48" t="s">
        <v>390</v>
      </c>
    </row>
    <row r="95" spans="1:9">
      <c r="A95" s="41">
        <v>90</v>
      </c>
      <c r="B95" s="42" t="s">
        <v>394</v>
      </c>
      <c r="C95" s="42">
        <v>105</v>
      </c>
      <c r="D95" s="43">
        <v>1185</v>
      </c>
      <c r="E95" s="44">
        <v>1329</v>
      </c>
      <c r="F95" s="44">
        <v>1660</v>
      </c>
      <c r="G95" s="45">
        <v>84.38</v>
      </c>
      <c r="H95" s="42" t="s">
        <v>389</v>
      </c>
      <c r="I95" s="48" t="s">
        <v>390</v>
      </c>
    </row>
    <row r="96" spans="1:9">
      <c r="A96" s="41">
        <v>91</v>
      </c>
      <c r="B96" s="42" t="s">
        <v>394</v>
      </c>
      <c r="C96" s="42">
        <v>106</v>
      </c>
      <c r="D96" s="43">
        <v>1185</v>
      </c>
      <c r="E96" s="44">
        <v>1329</v>
      </c>
      <c r="F96" s="44">
        <v>1660</v>
      </c>
      <c r="G96" s="45">
        <v>84.38</v>
      </c>
      <c r="H96" s="42" t="s">
        <v>389</v>
      </c>
      <c r="I96" s="48" t="s">
        <v>390</v>
      </c>
    </row>
    <row r="97" spans="1:9">
      <c r="A97" s="41">
        <v>92</v>
      </c>
      <c r="B97" s="42" t="s">
        <v>394</v>
      </c>
      <c r="C97" s="42">
        <v>108</v>
      </c>
      <c r="D97" s="43">
        <v>1185</v>
      </c>
      <c r="E97" s="44">
        <v>1329</v>
      </c>
      <c r="F97" s="44">
        <v>1660</v>
      </c>
      <c r="G97" s="45">
        <v>84.38</v>
      </c>
      <c r="H97" s="42" t="s">
        <v>389</v>
      </c>
      <c r="I97" s="48" t="s">
        <v>390</v>
      </c>
    </row>
    <row r="98" spans="1:9">
      <c r="A98" s="41">
        <v>93</v>
      </c>
      <c r="B98" s="42" t="s">
        <v>394</v>
      </c>
      <c r="C98" s="42">
        <v>201</v>
      </c>
      <c r="D98" s="43">
        <v>1185</v>
      </c>
      <c r="E98" s="44">
        <v>1329</v>
      </c>
      <c r="F98" s="44">
        <v>1660</v>
      </c>
      <c r="G98" s="45">
        <v>84.38</v>
      </c>
      <c r="H98" s="42" t="s">
        <v>393</v>
      </c>
      <c r="I98" s="48" t="s">
        <v>390</v>
      </c>
    </row>
    <row r="99" spans="1:9">
      <c r="A99" s="41">
        <v>94</v>
      </c>
      <c r="B99" s="42" t="s">
        <v>394</v>
      </c>
      <c r="C99" s="42">
        <v>203</v>
      </c>
      <c r="D99" s="43">
        <v>1185</v>
      </c>
      <c r="E99" s="44">
        <v>1329</v>
      </c>
      <c r="F99" s="44">
        <v>1660</v>
      </c>
      <c r="G99" s="45">
        <v>84.38</v>
      </c>
      <c r="H99" s="42" t="s">
        <v>393</v>
      </c>
      <c r="I99" s="48" t="s">
        <v>390</v>
      </c>
    </row>
    <row r="100" spans="1:9">
      <c r="A100" s="41">
        <v>95</v>
      </c>
      <c r="B100" s="42" t="s">
        <v>394</v>
      </c>
      <c r="C100" s="42">
        <v>204</v>
      </c>
      <c r="D100" s="43">
        <v>1185</v>
      </c>
      <c r="E100" s="44">
        <v>1329</v>
      </c>
      <c r="F100" s="44">
        <v>1660</v>
      </c>
      <c r="G100" s="45">
        <v>84.38</v>
      </c>
      <c r="H100" s="42" t="s">
        <v>393</v>
      </c>
      <c r="I100" s="48" t="s">
        <v>390</v>
      </c>
    </row>
    <row r="101" spans="1:9">
      <c r="A101" s="41">
        <v>96</v>
      </c>
      <c r="B101" s="42" t="s">
        <v>394</v>
      </c>
      <c r="C101" s="42">
        <v>206</v>
      </c>
      <c r="D101" s="43">
        <v>1185</v>
      </c>
      <c r="E101" s="44">
        <v>1329</v>
      </c>
      <c r="F101" s="44">
        <v>1660</v>
      </c>
      <c r="G101" s="45">
        <v>84.38</v>
      </c>
      <c r="H101" s="42" t="s">
        <v>393</v>
      </c>
      <c r="I101" s="48" t="s">
        <v>390</v>
      </c>
    </row>
    <row r="102" spans="1:9">
      <c r="A102" s="41">
        <v>97</v>
      </c>
      <c r="B102" s="42" t="s">
        <v>394</v>
      </c>
      <c r="C102" s="42">
        <v>207</v>
      </c>
      <c r="D102" s="43">
        <v>1185</v>
      </c>
      <c r="E102" s="44">
        <v>1329</v>
      </c>
      <c r="F102" s="44">
        <v>1660</v>
      </c>
      <c r="G102" s="45">
        <v>84.38</v>
      </c>
      <c r="H102" s="42" t="s">
        <v>393</v>
      </c>
      <c r="I102" s="48" t="s">
        <v>390</v>
      </c>
    </row>
    <row r="103" spans="1:9">
      <c r="A103" s="41">
        <v>98</v>
      </c>
      <c r="B103" s="42" t="s">
        <v>394</v>
      </c>
      <c r="C103" s="42">
        <v>301</v>
      </c>
      <c r="D103" s="43">
        <v>1185</v>
      </c>
      <c r="E103" s="44">
        <v>1329</v>
      </c>
      <c r="F103" s="44">
        <v>1660</v>
      </c>
      <c r="G103" s="45">
        <v>84.38</v>
      </c>
      <c r="H103" s="42" t="s">
        <v>389</v>
      </c>
      <c r="I103" s="48" t="s">
        <v>390</v>
      </c>
    </row>
    <row r="104" spans="1:9">
      <c r="A104" s="41">
        <v>99</v>
      </c>
      <c r="B104" s="42" t="s">
        <v>394</v>
      </c>
      <c r="C104" s="42">
        <v>302</v>
      </c>
      <c r="D104" s="43">
        <v>1185</v>
      </c>
      <c r="E104" s="44">
        <v>1329</v>
      </c>
      <c r="F104" s="44">
        <v>1660</v>
      </c>
      <c r="G104" s="45">
        <v>84.38</v>
      </c>
      <c r="H104" s="42" t="s">
        <v>389</v>
      </c>
      <c r="I104" s="48" t="s">
        <v>390</v>
      </c>
    </row>
    <row r="105" spans="1:9">
      <c r="A105" s="41">
        <v>100</v>
      </c>
      <c r="B105" s="42" t="s">
        <v>394</v>
      </c>
      <c r="C105" s="42">
        <v>304</v>
      </c>
      <c r="D105" s="43">
        <v>1185</v>
      </c>
      <c r="E105" s="44">
        <v>1329</v>
      </c>
      <c r="F105" s="44">
        <v>1660</v>
      </c>
      <c r="G105" s="45">
        <v>84.38</v>
      </c>
      <c r="H105" s="42" t="s">
        <v>389</v>
      </c>
      <c r="I105" s="48" t="s">
        <v>390</v>
      </c>
    </row>
    <row r="106" spans="1:9">
      <c r="A106" s="41">
        <v>101</v>
      </c>
      <c r="B106" s="42" t="s">
        <v>394</v>
      </c>
      <c r="C106" s="42">
        <v>305</v>
      </c>
      <c r="D106" s="43">
        <v>1185</v>
      </c>
      <c r="E106" s="44">
        <v>1329</v>
      </c>
      <c r="F106" s="44">
        <v>1660</v>
      </c>
      <c r="G106" s="45">
        <v>84.38</v>
      </c>
      <c r="H106" s="42" t="s">
        <v>389</v>
      </c>
      <c r="I106" s="48" t="s">
        <v>390</v>
      </c>
    </row>
    <row r="107" spans="1:9">
      <c r="A107" s="41">
        <v>102</v>
      </c>
      <c r="B107" s="42" t="s">
        <v>394</v>
      </c>
      <c r="C107" s="42">
        <v>307</v>
      </c>
      <c r="D107" s="43">
        <v>1185</v>
      </c>
      <c r="E107" s="44">
        <v>1329</v>
      </c>
      <c r="F107" s="44">
        <v>1660</v>
      </c>
      <c r="G107" s="45">
        <v>84.38</v>
      </c>
      <c r="H107" s="42" t="s">
        <v>389</v>
      </c>
      <c r="I107" s="48" t="s">
        <v>390</v>
      </c>
    </row>
    <row r="108" spans="1:9">
      <c r="A108" s="41">
        <v>103</v>
      </c>
      <c r="B108" s="42" t="s">
        <v>394</v>
      </c>
      <c r="C108" s="42">
        <v>308</v>
      </c>
      <c r="D108" s="43">
        <v>1185</v>
      </c>
      <c r="E108" s="44">
        <v>1329</v>
      </c>
      <c r="F108" s="44">
        <v>1660</v>
      </c>
      <c r="G108" s="45">
        <v>84.38</v>
      </c>
      <c r="H108" s="42" t="s">
        <v>389</v>
      </c>
      <c r="I108" s="48" t="s">
        <v>390</v>
      </c>
    </row>
    <row r="109" spans="1:9">
      <c r="A109" s="41">
        <v>104</v>
      </c>
      <c r="B109" s="42" t="s">
        <v>394</v>
      </c>
      <c r="C109" s="42">
        <v>402</v>
      </c>
      <c r="D109" s="43">
        <v>1185</v>
      </c>
      <c r="E109" s="44">
        <v>1329</v>
      </c>
      <c r="F109" s="44">
        <v>1660</v>
      </c>
      <c r="G109" s="45">
        <v>84.38</v>
      </c>
      <c r="H109" s="42" t="s">
        <v>389</v>
      </c>
      <c r="I109" s="48" t="s">
        <v>390</v>
      </c>
    </row>
    <row r="110" spans="1:9">
      <c r="A110" s="41">
        <v>105</v>
      </c>
      <c r="B110" s="42" t="s">
        <v>394</v>
      </c>
      <c r="C110" s="42">
        <v>403</v>
      </c>
      <c r="D110" s="43">
        <v>1185</v>
      </c>
      <c r="E110" s="44">
        <v>1329</v>
      </c>
      <c r="F110" s="44">
        <v>1660</v>
      </c>
      <c r="G110" s="45">
        <v>84.38</v>
      </c>
      <c r="H110" s="42" t="s">
        <v>389</v>
      </c>
      <c r="I110" s="48" t="s">
        <v>390</v>
      </c>
    </row>
    <row r="111" spans="1:9">
      <c r="A111" s="41">
        <v>106</v>
      </c>
      <c r="B111" s="42" t="s">
        <v>394</v>
      </c>
      <c r="C111" s="42">
        <v>405</v>
      </c>
      <c r="D111" s="43">
        <v>1185</v>
      </c>
      <c r="E111" s="44">
        <v>1329</v>
      </c>
      <c r="F111" s="44">
        <v>1660</v>
      </c>
      <c r="G111" s="45">
        <v>84.38</v>
      </c>
      <c r="H111" s="42" t="s">
        <v>389</v>
      </c>
      <c r="I111" s="48" t="s">
        <v>390</v>
      </c>
    </row>
    <row r="112" spans="1:9">
      <c r="A112" s="41">
        <v>107</v>
      </c>
      <c r="B112" s="42" t="s">
        <v>394</v>
      </c>
      <c r="C112" s="42">
        <v>406</v>
      </c>
      <c r="D112" s="43">
        <v>1185</v>
      </c>
      <c r="E112" s="44">
        <v>1329</v>
      </c>
      <c r="F112" s="44">
        <v>1660</v>
      </c>
      <c r="G112" s="45">
        <v>84.38</v>
      </c>
      <c r="H112" s="42" t="s">
        <v>389</v>
      </c>
      <c r="I112" s="48" t="s">
        <v>390</v>
      </c>
    </row>
    <row r="113" spans="1:9">
      <c r="A113" s="41">
        <v>108</v>
      </c>
      <c r="B113" s="42" t="s">
        <v>394</v>
      </c>
      <c r="C113" s="42">
        <v>408</v>
      </c>
      <c r="D113" s="43">
        <v>1185</v>
      </c>
      <c r="E113" s="44">
        <v>1329</v>
      </c>
      <c r="F113" s="44">
        <v>1660</v>
      </c>
      <c r="G113" s="45">
        <v>84.38</v>
      </c>
      <c r="H113" s="42" t="s">
        <v>389</v>
      </c>
      <c r="I113" s="48" t="s">
        <v>390</v>
      </c>
    </row>
    <row r="114" spans="1:9">
      <c r="A114" s="41">
        <v>109</v>
      </c>
      <c r="B114" s="42" t="s">
        <v>394</v>
      </c>
      <c r="C114" s="42">
        <v>501</v>
      </c>
      <c r="D114" s="43">
        <v>1185</v>
      </c>
      <c r="E114" s="44">
        <v>1329</v>
      </c>
      <c r="F114" s="44">
        <v>1660</v>
      </c>
      <c r="G114" s="45">
        <v>84.38</v>
      </c>
      <c r="H114" s="42" t="s">
        <v>389</v>
      </c>
      <c r="I114" s="48" t="s">
        <v>390</v>
      </c>
    </row>
    <row r="115" spans="1:9">
      <c r="A115" s="41">
        <v>110</v>
      </c>
      <c r="B115" s="42" t="s">
        <v>394</v>
      </c>
      <c r="C115" s="42">
        <v>503</v>
      </c>
      <c r="D115" s="43">
        <v>1185</v>
      </c>
      <c r="E115" s="44">
        <v>1329</v>
      </c>
      <c r="F115" s="44">
        <v>1660</v>
      </c>
      <c r="G115" s="45">
        <v>84.38</v>
      </c>
      <c r="H115" s="42" t="s">
        <v>389</v>
      </c>
      <c r="I115" s="48" t="s">
        <v>390</v>
      </c>
    </row>
    <row r="116" spans="1:9">
      <c r="A116" s="41">
        <v>111</v>
      </c>
      <c r="B116" s="42" t="s">
        <v>394</v>
      </c>
      <c r="C116" s="42">
        <v>504</v>
      </c>
      <c r="D116" s="43">
        <v>1185</v>
      </c>
      <c r="E116" s="44">
        <v>1329</v>
      </c>
      <c r="F116" s="44">
        <v>1660</v>
      </c>
      <c r="G116" s="45">
        <v>84.38</v>
      </c>
      <c r="H116" s="42" t="s">
        <v>389</v>
      </c>
      <c r="I116" s="48" t="s">
        <v>390</v>
      </c>
    </row>
    <row r="117" spans="1:9">
      <c r="A117" s="41">
        <v>112</v>
      </c>
      <c r="B117" s="42" t="s">
        <v>394</v>
      </c>
      <c r="C117" s="42">
        <v>506</v>
      </c>
      <c r="D117" s="43">
        <v>1185</v>
      </c>
      <c r="E117" s="44">
        <v>1329</v>
      </c>
      <c r="F117" s="44">
        <v>1660</v>
      </c>
      <c r="G117" s="45">
        <v>84.38</v>
      </c>
      <c r="H117" s="42" t="s">
        <v>389</v>
      </c>
      <c r="I117" s="48" t="s">
        <v>390</v>
      </c>
    </row>
    <row r="118" spans="1:9">
      <c r="A118" s="41">
        <v>113</v>
      </c>
      <c r="B118" s="42" t="s">
        <v>394</v>
      </c>
      <c r="C118" s="42">
        <v>507</v>
      </c>
      <c r="D118" s="43">
        <v>1185</v>
      </c>
      <c r="E118" s="44">
        <v>1329</v>
      </c>
      <c r="F118" s="44">
        <v>1660</v>
      </c>
      <c r="G118" s="45">
        <v>84.38</v>
      </c>
      <c r="H118" s="42" t="s">
        <v>389</v>
      </c>
      <c r="I118" s="48" t="s">
        <v>390</v>
      </c>
    </row>
    <row r="119" spans="1:9">
      <c r="A119" s="41">
        <v>114</v>
      </c>
      <c r="B119" s="42" t="s">
        <v>394</v>
      </c>
      <c r="C119" s="42">
        <v>601</v>
      </c>
      <c r="D119" s="43">
        <v>1185</v>
      </c>
      <c r="E119" s="44">
        <v>1329</v>
      </c>
      <c r="F119" s="44">
        <v>1660</v>
      </c>
      <c r="G119" s="45">
        <v>84.38</v>
      </c>
      <c r="H119" s="42" t="s">
        <v>389</v>
      </c>
      <c r="I119" s="48" t="s">
        <v>390</v>
      </c>
    </row>
    <row r="120" spans="1:9">
      <c r="A120" s="41">
        <v>115</v>
      </c>
      <c r="B120" s="42" t="s">
        <v>394</v>
      </c>
      <c r="C120" s="42">
        <v>602</v>
      </c>
      <c r="D120" s="43">
        <v>1185</v>
      </c>
      <c r="E120" s="44">
        <v>1329</v>
      </c>
      <c r="F120" s="44">
        <v>1660</v>
      </c>
      <c r="G120" s="45">
        <v>84.38</v>
      </c>
      <c r="H120" s="42" t="s">
        <v>389</v>
      </c>
      <c r="I120" s="48" t="s">
        <v>390</v>
      </c>
    </row>
    <row r="121" spans="1:9">
      <c r="A121" s="41">
        <v>116</v>
      </c>
      <c r="B121" s="42" t="s">
        <v>394</v>
      </c>
      <c r="C121" s="42">
        <v>604</v>
      </c>
      <c r="D121" s="43">
        <v>1185</v>
      </c>
      <c r="E121" s="44">
        <v>1329</v>
      </c>
      <c r="F121" s="44">
        <v>1660</v>
      </c>
      <c r="G121" s="45">
        <v>84.38</v>
      </c>
      <c r="H121" s="42" t="s">
        <v>389</v>
      </c>
      <c r="I121" s="48" t="s">
        <v>390</v>
      </c>
    </row>
    <row r="122" spans="1:9">
      <c r="A122" s="41">
        <v>117</v>
      </c>
      <c r="B122" s="42" t="s">
        <v>394</v>
      </c>
      <c r="C122" s="42">
        <v>605</v>
      </c>
      <c r="D122" s="43">
        <v>1185</v>
      </c>
      <c r="E122" s="44">
        <v>1329</v>
      </c>
      <c r="F122" s="44">
        <v>1660</v>
      </c>
      <c r="G122" s="45">
        <v>84.38</v>
      </c>
      <c r="H122" s="42" t="s">
        <v>389</v>
      </c>
      <c r="I122" s="48" t="s">
        <v>390</v>
      </c>
    </row>
    <row r="123" spans="1:9">
      <c r="A123" s="41">
        <v>118</v>
      </c>
      <c r="B123" s="42" t="s">
        <v>394</v>
      </c>
      <c r="C123" s="42">
        <v>607</v>
      </c>
      <c r="D123" s="43">
        <v>1185</v>
      </c>
      <c r="E123" s="44">
        <v>1329</v>
      </c>
      <c r="F123" s="44">
        <v>1660</v>
      </c>
      <c r="G123" s="45">
        <v>84.38</v>
      </c>
      <c r="H123" s="42" t="s">
        <v>393</v>
      </c>
      <c r="I123" s="48" t="s">
        <v>390</v>
      </c>
    </row>
    <row r="124" spans="1:9">
      <c r="A124" s="41">
        <v>119</v>
      </c>
      <c r="B124" s="42" t="s">
        <v>394</v>
      </c>
      <c r="C124" s="42">
        <v>608</v>
      </c>
      <c r="D124" s="43">
        <v>1185</v>
      </c>
      <c r="E124" s="44">
        <v>1329</v>
      </c>
      <c r="F124" s="44">
        <v>1660</v>
      </c>
      <c r="G124" s="45">
        <v>84.38</v>
      </c>
      <c r="H124" s="42" t="s">
        <v>389</v>
      </c>
      <c r="I124" s="48" t="s">
        <v>390</v>
      </c>
    </row>
    <row r="125" spans="1:9">
      <c r="A125" s="41">
        <v>120</v>
      </c>
      <c r="B125" s="42" t="s">
        <v>395</v>
      </c>
      <c r="C125" s="42">
        <v>102</v>
      </c>
      <c r="D125" s="43">
        <v>1185</v>
      </c>
      <c r="E125" s="44">
        <v>1329</v>
      </c>
      <c r="F125" s="44">
        <v>1660</v>
      </c>
      <c r="G125" s="45">
        <v>84.38</v>
      </c>
      <c r="H125" s="42" t="s">
        <v>393</v>
      </c>
      <c r="I125" s="48" t="s">
        <v>390</v>
      </c>
    </row>
    <row r="126" spans="1:9">
      <c r="A126" s="41">
        <v>121</v>
      </c>
      <c r="B126" s="42" t="s">
        <v>395</v>
      </c>
      <c r="C126" s="42">
        <v>103</v>
      </c>
      <c r="D126" s="43">
        <v>1185</v>
      </c>
      <c r="E126" s="44">
        <v>1329</v>
      </c>
      <c r="F126" s="44">
        <v>1660</v>
      </c>
      <c r="G126" s="45">
        <v>84.38</v>
      </c>
      <c r="H126" s="42" t="s">
        <v>393</v>
      </c>
      <c r="I126" s="48" t="s">
        <v>390</v>
      </c>
    </row>
    <row r="127" spans="1:9">
      <c r="A127" s="41">
        <v>122</v>
      </c>
      <c r="B127" s="42" t="s">
        <v>395</v>
      </c>
      <c r="C127" s="42">
        <v>105</v>
      </c>
      <c r="D127" s="43">
        <v>1185</v>
      </c>
      <c r="E127" s="44">
        <v>1329</v>
      </c>
      <c r="F127" s="44">
        <v>1660</v>
      </c>
      <c r="G127" s="45">
        <v>84.38</v>
      </c>
      <c r="H127" s="42" t="s">
        <v>393</v>
      </c>
      <c r="I127" s="48" t="s">
        <v>390</v>
      </c>
    </row>
    <row r="128" spans="1:9">
      <c r="A128" s="41">
        <v>123</v>
      </c>
      <c r="B128" s="42" t="s">
        <v>395</v>
      </c>
      <c r="C128" s="42">
        <v>106</v>
      </c>
      <c r="D128" s="43">
        <v>1185</v>
      </c>
      <c r="E128" s="44">
        <v>1329</v>
      </c>
      <c r="F128" s="44">
        <v>1660</v>
      </c>
      <c r="G128" s="45">
        <v>84.38</v>
      </c>
      <c r="H128" s="42" t="s">
        <v>393</v>
      </c>
      <c r="I128" s="48" t="s">
        <v>390</v>
      </c>
    </row>
    <row r="129" spans="1:9">
      <c r="A129" s="41">
        <v>124</v>
      </c>
      <c r="B129" s="42" t="s">
        <v>395</v>
      </c>
      <c r="C129" s="42">
        <v>201</v>
      </c>
      <c r="D129" s="43">
        <v>1185</v>
      </c>
      <c r="E129" s="44">
        <v>1329</v>
      </c>
      <c r="F129" s="44">
        <v>1660</v>
      </c>
      <c r="G129" s="45">
        <v>84.38</v>
      </c>
      <c r="H129" s="42" t="s">
        <v>393</v>
      </c>
      <c r="I129" s="48" t="s">
        <v>390</v>
      </c>
    </row>
    <row r="130" spans="1:9">
      <c r="A130" s="41">
        <v>125</v>
      </c>
      <c r="B130" s="42" t="s">
        <v>395</v>
      </c>
      <c r="C130" s="42">
        <v>202</v>
      </c>
      <c r="D130" s="43">
        <v>1185</v>
      </c>
      <c r="E130" s="44">
        <v>1329</v>
      </c>
      <c r="F130" s="44">
        <v>1660</v>
      </c>
      <c r="G130" s="45">
        <v>84.38</v>
      </c>
      <c r="H130" s="42" t="s">
        <v>393</v>
      </c>
      <c r="I130" s="48" t="s">
        <v>390</v>
      </c>
    </row>
    <row r="131" spans="1:9">
      <c r="A131" s="41">
        <v>126</v>
      </c>
      <c r="B131" s="42" t="s">
        <v>395</v>
      </c>
      <c r="C131" s="42">
        <v>204</v>
      </c>
      <c r="D131" s="43">
        <v>1185</v>
      </c>
      <c r="E131" s="44">
        <v>1329</v>
      </c>
      <c r="F131" s="44">
        <v>1660</v>
      </c>
      <c r="G131" s="45">
        <v>84.38</v>
      </c>
      <c r="H131" s="42" t="s">
        <v>393</v>
      </c>
      <c r="I131" s="48" t="s">
        <v>390</v>
      </c>
    </row>
    <row r="132" spans="1:9">
      <c r="A132" s="41">
        <v>127</v>
      </c>
      <c r="B132" s="42" t="s">
        <v>395</v>
      </c>
      <c r="C132" s="42">
        <v>205</v>
      </c>
      <c r="D132" s="43">
        <v>1185</v>
      </c>
      <c r="E132" s="44">
        <v>1329</v>
      </c>
      <c r="F132" s="44">
        <v>1660</v>
      </c>
      <c r="G132" s="45">
        <v>84.38</v>
      </c>
      <c r="H132" s="42" t="s">
        <v>393</v>
      </c>
      <c r="I132" s="48" t="s">
        <v>390</v>
      </c>
    </row>
    <row r="133" spans="1:9">
      <c r="A133" s="41">
        <v>128</v>
      </c>
      <c r="B133" s="42" t="s">
        <v>395</v>
      </c>
      <c r="C133" s="42">
        <v>207</v>
      </c>
      <c r="D133" s="43">
        <v>1185</v>
      </c>
      <c r="E133" s="44">
        <v>1329</v>
      </c>
      <c r="F133" s="44">
        <v>1660</v>
      </c>
      <c r="G133" s="45">
        <v>84.38</v>
      </c>
      <c r="H133" s="42" t="s">
        <v>393</v>
      </c>
      <c r="I133" s="48" t="s">
        <v>390</v>
      </c>
    </row>
    <row r="134" spans="1:9">
      <c r="A134" s="41">
        <v>129</v>
      </c>
      <c r="B134" s="42" t="s">
        <v>395</v>
      </c>
      <c r="C134" s="42">
        <v>301</v>
      </c>
      <c r="D134" s="43">
        <v>1185</v>
      </c>
      <c r="E134" s="44">
        <v>1329</v>
      </c>
      <c r="F134" s="44">
        <v>1660</v>
      </c>
      <c r="G134" s="45">
        <v>84.38</v>
      </c>
      <c r="H134" s="42" t="s">
        <v>389</v>
      </c>
      <c r="I134" s="48" t="s">
        <v>390</v>
      </c>
    </row>
    <row r="135" spans="1:9">
      <c r="A135" s="41">
        <v>130</v>
      </c>
      <c r="B135" s="42" t="s">
        <v>395</v>
      </c>
      <c r="C135" s="42">
        <v>303</v>
      </c>
      <c r="D135" s="43">
        <v>1185</v>
      </c>
      <c r="E135" s="44">
        <v>1329</v>
      </c>
      <c r="F135" s="44">
        <v>1660</v>
      </c>
      <c r="G135" s="45">
        <v>84.38</v>
      </c>
      <c r="H135" s="42" t="s">
        <v>393</v>
      </c>
      <c r="I135" s="48" t="s">
        <v>390</v>
      </c>
    </row>
    <row r="136" spans="1:9">
      <c r="A136" s="41">
        <v>131</v>
      </c>
      <c r="B136" s="42" t="s">
        <v>395</v>
      </c>
      <c r="C136" s="42">
        <v>304</v>
      </c>
      <c r="D136" s="43">
        <v>1185</v>
      </c>
      <c r="E136" s="44">
        <v>1329</v>
      </c>
      <c r="F136" s="44">
        <v>1660</v>
      </c>
      <c r="G136" s="45">
        <v>84.38</v>
      </c>
      <c r="H136" s="42" t="s">
        <v>393</v>
      </c>
      <c r="I136" s="48" t="s">
        <v>390</v>
      </c>
    </row>
    <row r="137" spans="1:9">
      <c r="A137" s="41">
        <v>132</v>
      </c>
      <c r="B137" s="42" t="s">
        <v>395</v>
      </c>
      <c r="C137" s="42">
        <v>306</v>
      </c>
      <c r="D137" s="43">
        <v>1185</v>
      </c>
      <c r="E137" s="44">
        <v>1329</v>
      </c>
      <c r="F137" s="44">
        <v>1660</v>
      </c>
      <c r="G137" s="45">
        <v>84.38</v>
      </c>
      <c r="H137" s="42" t="s">
        <v>389</v>
      </c>
      <c r="I137" s="48" t="s">
        <v>390</v>
      </c>
    </row>
    <row r="138" spans="1:9">
      <c r="A138" s="41">
        <v>133</v>
      </c>
      <c r="B138" s="42" t="s">
        <v>395</v>
      </c>
      <c r="C138" s="42">
        <v>307</v>
      </c>
      <c r="D138" s="43">
        <v>1185</v>
      </c>
      <c r="E138" s="44">
        <v>1329</v>
      </c>
      <c r="F138" s="44">
        <v>1660</v>
      </c>
      <c r="G138" s="45">
        <v>84.38</v>
      </c>
      <c r="H138" s="42" t="s">
        <v>389</v>
      </c>
      <c r="I138" s="48" t="s">
        <v>390</v>
      </c>
    </row>
    <row r="139" spans="1:9">
      <c r="A139" s="41">
        <v>134</v>
      </c>
      <c r="B139" s="42" t="s">
        <v>395</v>
      </c>
      <c r="C139" s="42">
        <v>402</v>
      </c>
      <c r="D139" s="43">
        <v>1185</v>
      </c>
      <c r="E139" s="44">
        <v>1329</v>
      </c>
      <c r="F139" s="44">
        <v>1660</v>
      </c>
      <c r="G139" s="45">
        <v>84.38</v>
      </c>
      <c r="H139" s="42" t="s">
        <v>393</v>
      </c>
      <c r="I139" s="48" t="s">
        <v>390</v>
      </c>
    </row>
    <row r="140" spans="1:9">
      <c r="A140" s="41">
        <v>135</v>
      </c>
      <c r="B140" s="42" t="s">
        <v>395</v>
      </c>
      <c r="C140" s="42">
        <v>403</v>
      </c>
      <c r="D140" s="43">
        <v>1185</v>
      </c>
      <c r="E140" s="44">
        <v>1329</v>
      </c>
      <c r="F140" s="44">
        <v>1660</v>
      </c>
      <c r="G140" s="45">
        <v>84.38</v>
      </c>
      <c r="H140" s="42" t="s">
        <v>389</v>
      </c>
      <c r="I140" s="48" t="s">
        <v>390</v>
      </c>
    </row>
    <row r="141" spans="1:9">
      <c r="A141" s="41">
        <v>136</v>
      </c>
      <c r="B141" s="42" t="s">
        <v>395</v>
      </c>
      <c r="C141" s="42">
        <v>405</v>
      </c>
      <c r="D141" s="43">
        <v>1185</v>
      </c>
      <c r="E141" s="44">
        <v>1329</v>
      </c>
      <c r="F141" s="44">
        <v>1660</v>
      </c>
      <c r="G141" s="45">
        <v>84.38</v>
      </c>
      <c r="H141" s="42" t="s">
        <v>389</v>
      </c>
      <c r="I141" s="48" t="s">
        <v>390</v>
      </c>
    </row>
    <row r="142" spans="1:9">
      <c r="A142" s="41">
        <v>137</v>
      </c>
      <c r="B142" s="42" t="s">
        <v>395</v>
      </c>
      <c r="C142" s="42">
        <v>406</v>
      </c>
      <c r="D142" s="43">
        <v>1185</v>
      </c>
      <c r="E142" s="44">
        <v>1329</v>
      </c>
      <c r="F142" s="44">
        <v>1660</v>
      </c>
      <c r="G142" s="45">
        <v>84.38</v>
      </c>
      <c r="H142" s="42" t="s">
        <v>389</v>
      </c>
      <c r="I142" s="48" t="s">
        <v>390</v>
      </c>
    </row>
    <row r="143" spans="1:9">
      <c r="A143" s="41">
        <v>138</v>
      </c>
      <c r="B143" s="42" t="s">
        <v>395</v>
      </c>
      <c r="C143" s="42">
        <v>501</v>
      </c>
      <c r="D143" s="43">
        <v>1185</v>
      </c>
      <c r="E143" s="44">
        <v>1329</v>
      </c>
      <c r="F143" s="44">
        <v>1660</v>
      </c>
      <c r="G143" s="45">
        <v>84.38</v>
      </c>
      <c r="H143" s="42" t="s">
        <v>389</v>
      </c>
      <c r="I143" s="48" t="s">
        <v>390</v>
      </c>
    </row>
    <row r="144" spans="1:9">
      <c r="A144" s="41">
        <v>139</v>
      </c>
      <c r="B144" s="42" t="s">
        <v>395</v>
      </c>
      <c r="C144" s="42">
        <v>502</v>
      </c>
      <c r="D144" s="43">
        <v>1185</v>
      </c>
      <c r="E144" s="44">
        <v>1329</v>
      </c>
      <c r="F144" s="44">
        <v>1660</v>
      </c>
      <c r="G144" s="45">
        <v>84.38</v>
      </c>
      <c r="H144" s="42" t="s">
        <v>393</v>
      </c>
      <c r="I144" s="48" t="s">
        <v>390</v>
      </c>
    </row>
    <row r="145" spans="1:9">
      <c r="A145" s="41">
        <v>140</v>
      </c>
      <c r="B145" s="42" t="s">
        <v>395</v>
      </c>
      <c r="C145" s="42">
        <v>504</v>
      </c>
      <c r="D145" s="43">
        <v>1185</v>
      </c>
      <c r="E145" s="44">
        <v>1329</v>
      </c>
      <c r="F145" s="44">
        <v>1660</v>
      </c>
      <c r="G145" s="45">
        <v>84.38</v>
      </c>
      <c r="H145" s="42" t="s">
        <v>389</v>
      </c>
      <c r="I145" s="48" t="s">
        <v>390</v>
      </c>
    </row>
    <row r="146" spans="1:9">
      <c r="A146" s="41">
        <v>141</v>
      </c>
      <c r="B146" s="42" t="s">
        <v>395</v>
      </c>
      <c r="C146" s="42">
        <v>505</v>
      </c>
      <c r="D146" s="43">
        <v>1185</v>
      </c>
      <c r="E146" s="44">
        <v>1329</v>
      </c>
      <c r="F146" s="44">
        <v>1660</v>
      </c>
      <c r="G146" s="45">
        <v>84.38</v>
      </c>
      <c r="H146" s="42" t="s">
        <v>389</v>
      </c>
      <c r="I146" s="48" t="s">
        <v>390</v>
      </c>
    </row>
    <row r="147" spans="1:9">
      <c r="A147" s="41">
        <v>142</v>
      </c>
      <c r="B147" s="42" t="s">
        <v>395</v>
      </c>
      <c r="C147" s="42">
        <v>601</v>
      </c>
      <c r="D147" s="43">
        <v>1185</v>
      </c>
      <c r="E147" s="44">
        <v>1329</v>
      </c>
      <c r="F147" s="44">
        <v>1660</v>
      </c>
      <c r="G147" s="45">
        <v>84.38</v>
      </c>
      <c r="H147" s="42" t="s">
        <v>393</v>
      </c>
      <c r="I147" s="48" t="s">
        <v>390</v>
      </c>
    </row>
    <row r="148" spans="1:9">
      <c r="A148" s="41">
        <v>143</v>
      </c>
      <c r="B148" s="42" t="s">
        <v>395</v>
      </c>
      <c r="C148" s="42">
        <v>603</v>
      </c>
      <c r="D148" s="43">
        <v>1185</v>
      </c>
      <c r="E148" s="44">
        <v>1329</v>
      </c>
      <c r="F148" s="44">
        <v>1660</v>
      </c>
      <c r="G148" s="45">
        <v>84.38</v>
      </c>
      <c r="H148" s="42" t="s">
        <v>393</v>
      </c>
      <c r="I148" s="48" t="s">
        <v>390</v>
      </c>
    </row>
    <row r="149" spans="1:9">
      <c r="A149" s="41">
        <v>144</v>
      </c>
      <c r="B149" s="42" t="s">
        <v>395</v>
      </c>
      <c r="C149" s="42">
        <v>604</v>
      </c>
      <c r="D149" s="43">
        <v>1185</v>
      </c>
      <c r="E149" s="44">
        <v>1329</v>
      </c>
      <c r="F149" s="44">
        <v>1660</v>
      </c>
      <c r="G149" s="45">
        <v>84.38</v>
      </c>
      <c r="H149" s="42" t="s">
        <v>393</v>
      </c>
      <c r="I149" s="48" t="s">
        <v>390</v>
      </c>
    </row>
    <row r="150" spans="1:9">
      <c r="A150" s="41">
        <v>145</v>
      </c>
      <c r="B150" s="42" t="s">
        <v>395</v>
      </c>
      <c r="C150" s="42">
        <v>606</v>
      </c>
      <c r="D150" s="43">
        <v>1185</v>
      </c>
      <c r="E150" s="44">
        <v>1329</v>
      </c>
      <c r="F150" s="44">
        <v>1660</v>
      </c>
      <c r="G150" s="45">
        <v>84.38</v>
      </c>
      <c r="H150" s="42" t="s">
        <v>393</v>
      </c>
      <c r="I150" s="48" t="s">
        <v>390</v>
      </c>
    </row>
    <row r="151" spans="1:9">
      <c r="A151" s="41">
        <v>146</v>
      </c>
      <c r="B151" s="42" t="s">
        <v>395</v>
      </c>
      <c r="C151" s="42">
        <v>607</v>
      </c>
      <c r="D151" s="43">
        <v>1185</v>
      </c>
      <c r="E151" s="44">
        <v>1329</v>
      </c>
      <c r="F151" s="44">
        <v>1660</v>
      </c>
      <c r="G151" s="45">
        <v>84.38</v>
      </c>
      <c r="H151" s="42" t="s">
        <v>389</v>
      </c>
      <c r="I151" s="48" t="s">
        <v>390</v>
      </c>
    </row>
    <row r="152" spans="1:9">
      <c r="A152" s="41">
        <v>147</v>
      </c>
      <c r="B152" s="42" t="s">
        <v>396</v>
      </c>
      <c r="C152" s="42">
        <v>102</v>
      </c>
      <c r="D152" s="43">
        <v>945</v>
      </c>
      <c r="E152" s="44">
        <v>1089</v>
      </c>
      <c r="F152" s="44">
        <v>1360</v>
      </c>
      <c r="G152" s="45">
        <v>69.13</v>
      </c>
      <c r="H152" s="42" t="s">
        <v>389</v>
      </c>
      <c r="I152" s="48" t="s">
        <v>390</v>
      </c>
    </row>
    <row r="153" spans="1:9">
      <c r="A153" s="41">
        <v>148</v>
      </c>
      <c r="B153" s="42" t="s">
        <v>396</v>
      </c>
      <c r="C153" s="42">
        <v>105</v>
      </c>
      <c r="D153" s="43">
        <v>945</v>
      </c>
      <c r="E153" s="44">
        <v>1089</v>
      </c>
      <c r="F153" s="44">
        <v>1360</v>
      </c>
      <c r="G153" s="45">
        <v>69.13</v>
      </c>
      <c r="H153" s="42" t="s">
        <v>393</v>
      </c>
      <c r="I153" s="48" t="s">
        <v>390</v>
      </c>
    </row>
    <row r="154" spans="1:9">
      <c r="A154" s="41">
        <v>149</v>
      </c>
      <c r="B154" s="42" t="s">
        <v>396</v>
      </c>
      <c r="C154" s="42">
        <v>106</v>
      </c>
      <c r="D154" s="43">
        <v>945</v>
      </c>
      <c r="E154" s="44">
        <v>1089</v>
      </c>
      <c r="F154" s="44">
        <v>1360</v>
      </c>
      <c r="G154" s="45">
        <v>69.13</v>
      </c>
      <c r="H154" s="42" t="s">
        <v>389</v>
      </c>
      <c r="I154" s="48" t="s">
        <v>390</v>
      </c>
    </row>
    <row r="155" spans="1:9">
      <c r="A155" s="41">
        <v>150</v>
      </c>
      <c r="B155" s="42" t="s">
        <v>396</v>
      </c>
      <c r="C155" s="42">
        <v>202</v>
      </c>
      <c r="D155" s="43">
        <v>945</v>
      </c>
      <c r="E155" s="44">
        <v>1089</v>
      </c>
      <c r="F155" s="44">
        <v>1360</v>
      </c>
      <c r="G155" s="45">
        <v>69.13</v>
      </c>
      <c r="H155" s="42" t="s">
        <v>393</v>
      </c>
      <c r="I155" s="48" t="s">
        <v>390</v>
      </c>
    </row>
    <row r="156" spans="1:9">
      <c r="A156" s="41">
        <v>151</v>
      </c>
      <c r="B156" s="42" t="s">
        <v>396</v>
      </c>
      <c r="C156" s="42">
        <v>203</v>
      </c>
      <c r="D156" s="43">
        <v>945</v>
      </c>
      <c r="E156" s="44">
        <v>1089</v>
      </c>
      <c r="F156" s="44">
        <v>1360</v>
      </c>
      <c r="G156" s="45">
        <v>69.13</v>
      </c>
      <c r="H156" s="42" t="s">
        <v>389</v>
      </c>
      <c r="I156" s="48" t="s">
        <v>390</v>
      </c>
    </row>
    <row r="157" spans="1:9">
      <c r="A157" s="41">
        <v>152</v>
      </c>
      <c r="B157" s="42" t="s">
        <v>396</v>
      </c>
      <c r="C157" s="42">
        <v>205</v>
      </c>
      <c r="D157" s="43">
        <v>945</v>
      </c>
      <c r="E157" s="44">
        <v>1089</v>
      </c>
      <c r="F157" s="44">
        <v>1360</v>
      </c>
      <c r="G157" s="45">
        <v>69.13</v>
      </c>
      <c r="H157" s="42" t="s">
        <v>393</v>
      </c>
      <c r="I157" s="48" t="s">
        <v>390</v>
      </c>
    </row>
    <row r="158" spans="1:9">
      <c r="A158" s="41">
        <v>153</v>
      </c>
      <c r="B158" s="42" t="s">
        <v>396</v>
      </c>
      <c r="C158" s="42">
        <v>206</v>
      </c>
      <c r="D158" s="43">
        <v>945</v>
      </c>
      <c r="E158" s="44">
        <v>1089</v>
      </c>
      <c r="F158" s="44">
        <v>1360</v>
      </c>
      <c r="G158" s="45">
        <v>69.13</v>
      </c>
      <c r="H158" s="42" t="s">
        <v>393</v>
      </c>
      <c r="I158" s="48" t="s">
        <v>390</v>
      </c>
    </row>
    <row r="159" spans="1:9">
      <c r="A159" s="41">
        <v>154</v>
      </c>
      <c r="B159" s="42" t="s">
        <v>396</v>
      </c>
      <c r="C159" s="42">
        <v>302</v>
      </c>
      <c r="D159" s="43">
        <v>945</v>
      </c>
      <c r="E159" s="44">
        <v>1089</v>
      </c>
      <c r="F159" s="44">
        <v>1360</v>
      </c>
      <c r="G159" s="45">
        <v>69.13</v>
      </c>
      <c r="H159" s="42" t="s">
        <v>389</v>
      </c>
      <c r="I159" s="48" t="s">
        <v>390</v>
      </c>
    </row>
    <row r="160" spans="1:9">
      <c r="A160" s="41">
        <v>155</v>
      </c>
      <c r="B160" s="42" t="s">
        <v>396</v>
      </c>
      <c r="C160" s="42">
        <v>303</v>
      </c>
      <c r="D160" s="43">
        <v>945</v>
      </c>
      <c r="E160" s="44">
        <v>1089</v>
      </c>
      <c r="F160" s="44">
        <v>1360</v>
      </c>
      <c r="G160" s="45">
        <v>69.13</v>
      </c>
      <c r="H160" s="42" t="s">
        <v>389</v>
      </c>
      <c r="I160" s="48" t="s">
        <v>390</v>
      </c>
    </row>
    <row r="161" spans="1:9">
      <c r="A161" s="41">
        <v>156</v>
      </c>
      <c r="B161" s="42" t="s">
        <v>396</v>
      </c>
      <c r="C161" s="42">
        <v>305</v>
      </c>
      <c r="D161" s="43">
        <v>945</v>
      </c>
      <c r="E161" s="44">
        <v>1089</v>
      </c>
      <c r="F161" s="44">
        <v>1360</v>
      </c>
      <c r="G161" s="45">
        <v>69.13</v>
      </c>
      <c r="H161" s="42" t="s">
        <v>389</v>
      </c>
      <c r="I161" s="48" t="s">
        <v>390</v>
      </c>
    </row>
    <row r="162" spans="1:9">
      <c r="A162" s="41">
        <v>157</v>
      </c>
      <c r="B162" s="42" t="s">
        <v>396</v>
      </c>
      <c r="C162" s="42">
        <v>306</v>
      </c>
      <c r="D162" s="43">
        <v>945</v>
      </c>
      <c r="E162" s="44">
        <v>1089</v>
      </c>
      <c r="F162" s="44">
        <v>1360</v>
      </c>
      <c r="G162" s="45">
        <v>69.13</v>
      </c>
      <c r="H162" s="42" t="s">
        <v>389</v>
      </c>
      <c r="I162" s="48" t="s">
        <v>390</v>
      </c>
    </row>
    <row r="163" spans="1:9">
      <c r="A163" s="41">
        <v>158</v>
      </c>
      <c r="B163" s="42" t="s">
        <v>396</v>
      </c>
      <c r="C163" s="42">
        <v>402</v>
      </c>
      <c r="D163" s="43">
        <v>945</v>
      </c>
      <c r="E163" s="44">
        <v>1089</v>
      </c>
      <c r="F163" s="44">
        <v>1360</v>
      </c>
      <c r="G163" s="45">
        <v>69.13</v>
      </c>
      <c r="H163" s="42" t="s">
        <v>389</v>
      </c>
      <c r="I163" s="48" t="s">
        <v>390</v>
      </c>
    </row>
    <row r="164" spans="1:9">
      <c r="A164" s="41">
        <v>159</v>
      </c>
      <c r="B164" s="42" t="s">
        <v>396</v>
      </c>
      <c r="C164" s="42">
        <v>403</v>
      </c>
      <c r="D164" s="43">
        <v>945</v>
      </c>
      <c r="E164" s="44">
        <v>1089</v>
      </c>
      <c r="F164" s="44">
        <v>1360</v>
      </c>
      <c r="G164" s="45">
        <v>69.13</v>
      </c>
      <c r="H164" s="42" t="s">
        <v>389</v>
      </c>
      <c r="I164" s="48" t="s">
        <v>390</v>
      </c>
    </row>
    <row r="165" spans="1:9">
      <c r="A165" s="41">
        <v>160</v>
      </c>
      <c r="B165" s="42" t="s">
        <v>396</v>
      </c>
      <c r="C165" s="42">
        <v>405</v>
      </c>
      <c r="D165" s="43">
        <v>945</v>
      </c>
      <c r="E165" s="44">
        <v>1089</v>
      </c>
      <c r="F165" s="44">
        <v>1360</v>
      </c>
      <c r="G165" s="45">
        <v>69.13</v>
      </c>
      <c r="H165" s="42" t="s">
        <v>389</v>
      </c>
      <c r="I165" s="48" t="s">
        <v>390</v>
      </c>
    </row>
    <row r="166" spans="1:9">
      <c r="A166" s="41">
        <v>161</v>
      </c>
      <c r="B166" s="42" t="s">
        <v>396</v>
      </c>
      <c r="C166" s="42">
        <v>406</v>
      </c>
      <c r="D166" s="43">
        <v>945</v>
      </c>
      <c r="E166" s="44">
        <v>1089</v>
      </c>
      <c r="F166" s="44">
        <v>1360</v>
      </c>
      <c r="G166" s="45">
        <v>69.13</v>
      </c>
      <c r="H166" s="42" t="s">
        <v>389</v>
      </c>
      <c r="I166" s="48" t="s">
        <v>390</v>
      </c>
    </row>
    <row r="167" spans="1:9">
      <c r="A167" s="41">
        <v>162</v>
      </c>
      <c r="B167" s="42" t="s">
        <v>396</v>
      </c>
      <c r="C167" s="42">
        <v>502</v>
      </c>
      <c r="D167" s="43">
        <v>945</v>
      </c>
      <c r="E167" s="44">
        <v>1089</v>
      </c>
      <c r="F167" s="44">
        <v>1360</v>
      </c>
      <c r="G167" s="45">
        <v>69.13</v>
      </c>
      <c r="H167" s="42" t="s">
        <v>389</v>
      </c>
      <c r="I167" s="48" t="s">
        <v>390</v>
      </c>
    </row>
    <row r="168" spans="1:9">
      <c r="A168" s="41">
        <v>163</v>
      </c>
      <c r="B168" s="42" t="s">
        <v>396</v>
      </c>
      <c r="C168" s="42">
        <v>503</v>
      </c>
      <c r="D168" s="43">
        <v>945</v>
      </c>
      <c r="E168" s="44">
        <v>1089</v>
      </c>
      <c r="F168" s="44">
        <v>1360</v>
      </c>
      <c r="G168" s="45">
        <v>69.13</v>
      </c>
      <c r="H168" s="42" t="s">
        <v>389</v>
      </c>
      <c r="I168" s="48" t="s">
        <v>390</v>
      </c>
    </row>
    <row r="169" spans="1:9">
      <c r="A169" s="41">
        <v>164</v>
      </c>
      <c r="B169" s="42" t="s">
        <v>396</v>
      </c>
      <c r="C169" s="42">
        <v>505</v>
      </c>
      <c r="D169" s="43">
        <v>945</v>
      </c>
      <c r="E169" s="44">
        <v>1089</v>
      </c>
      <c r="F169" s="44">
        <v>1360</v>
      </c>
      <c r="G169" s="45">
        <v>69.13</v>
      </c>
      <c r="H169" s="42" t="s">
        <v>389</v>
      </c>
      <c r="I169" s="48" t="s">
        <v>390</v>
      </c>
    </row>
    <row r="170" spans="1:9">
      <c r="A170" s="41">
        <v>165</v>
      </c>
      <c r="B170" s="42" t="s">
        <v>396</v>
      </c>
      <c r="C170" s="42">
        <v>506</v>
      </c>
      <c r="D170" s="43">
        <v>945</v>
      </c>
      <c r="E170" s="44">
        <v>1089</v>
      </c>
      <c r="F170" s="44">
        <v>1360</v>
      </c>
      <c r="G170" s="45">
        <v>69.13</v>
      </c>
      <c r="H170" s="42" t="s">
        <v>389</v>
      </c>
      <c r="I170" s="48" t="s">
        <v>390</v>
      </c>
    </row>
    <row r="171" spans="1:9">
      <c r="A171" s="41">
        <v>166</v>
      </c>
      <c r="B171" s="42" t="s">
        <v>396</v>
      </c>
      <c r="C171" s="42">
        <v>602</v>
      </c>
      <c r="D171" s="43">
        <v>945</v>
      </c>
      <c r="E171" s="44">
        <v>1089</v>
      </c>
      <c r="F171" s="44">
        <v>1360</v>
      </c>
      <c r="G171" s="45">
        <v>69.13</v>
      </c>
      <c r="H171" s="42" t="s">
        <v>389</v>
      </c>
      <c r="I171" s="48" t="s">
        <v>390</v>
      </c>
    </row>
    <row r="172" spans="1:9">
      <c r="A172" s="41">
        <v>167</v>
      </c>
      <c r="B172" s="42" t="s">
        <v>396</v>
      </c>
      <c r="C172" s="42">
        <v>603</v>
      </c>
      <c r="D172" s="43">
        <v>945</v>
      </c>
      <c r="E172" s="44">
        <v>1089</v>
      </c>
      <c r="F172" s="44">
        <v>1360</v>
      </c>
      <c r="G172" s="45">
        <v>69.13</v>
      </c>
      <c r="H172" s="42" t="s">
        <v>389</v>
      </c>
      <c r="I172" s="48" t="s">
        <v>390</v>
      </c>
    </row>
    <row r="173" spans="1:9">
      <c r="A173" s="41">
        <v>168</v>
      </c>
      <c r="B173" s="42" t="s">
        <v>396</v>
      </c>
      <c r="C173" s="42">
        <v>605</v>
      </c>
      <c r="D173" s="43">
        <v>945</v>
      </c>
      <c r="E173" s="44">
        <v>1089</v>
      </c>
      <c r="F173" s="44">
        <v>1360</v>
      </c>
      <c r="G173" s="45">
        <v>69.13</v>
      </c>
      <c r="H173" s="42" t="s">
        <v>389</v>
      </c>
      <c r="I173" s="48" t="s">
        <v>390</v>
      </c>
    </row>
    <row r="174" spans="1:9">
      <c r="A174" s="41">
        <v>169</v>
      </c>
      <c r="B174" s="42" t="s">
        <v>396</v>
      </c>
      <c r="C174" s="42">
        <v>606</v>
      </c>
      <c r="D174" s="43">
        <v>945</v>
      </c>
      <c r="E174" s="44">
        <v>1089</v>
      </c>
      <c r="F174" s="44">
        <v>1360</v>
      </c>
      <c r="G174" s="45">
        <v>69.13</v>
      </c>
      <c r="H174" s="42" t="s">
        <v>389</v>
      </c>
      <c r="I174" s="48" t="s">
        <v>390</v>
      </c>
    </row>
    <row r="175" spans="1:9">
      <c r="A175" s="41">
        <v>170</v>
      </c>
      <c r="B175" s="42" t="s">
        <v>397</v>
      </c>
      <c r="C175" s="42">
        <v>102</v>
      </c>
      <c r="D175" s="43">
        <v>945</v>
      </c>
      <c r="E175" s="44">
        <v>1089</v>
      </c>
      <c r="F175" s="44">
        <v>1360</v>
      </c>
      <c r="G175" s="45">
        <v>69.13</v>
      </c>
      <c r="H175" s="42" t="s">
        <v>393</v>
      </c>
      <c r="I175" s="48" t="s">
        <v>390</v>
      </c>
    </row>
    <row r="176" spans="1:9">
      <c r="A176" s="41">
        <v>171</v>
      </c>
      <c r="B176" s="42" t="s">
        <v>397</v>
      </c>
      <c r="C176" s="42">
        <v>103</v>
      </c>
      <c r="D176" s="43">
        <v>945</v>
      </c>
      <c r="E176" s="44">
        <v>1089</v>
      </c>
      <c r="F176" s="44">
        <v>1360</v>
      </c>
      <c r="G176" s="45">
        <v>69.13</v>
      </c>
      <c r="H176" s="42" t="s">
        <v>389</v>
      </c>
      <c r="I176" s="48" t="s">
        <v>390</v>
      </c>
    </row>
    <row r="177" spans="1:9">
      <c r="A177" s="41">
        <v>172</v>
      </c>
      <c r="B177" s="42" t="s">
        <v>397</v>
      </c>
      <c r="C177" s="42">
        <v>105</v>
      </c>
      <c r="D177" s="43">
        <v>945</v>
      </c>
      <c r="E177" s="44">
        <v>1089</v>
      </c>
      <c r="F177" s="44">
        <v>1360</v>
      </c>
      <c r="G177" s="45">
        <v>69.13</v>
      </c>
      <c r="H177" s="42" t="s">
        <v>389</v>
      </c>
      <c r="I177" s="48" t="s">
        <v>390</v>
      </c>
    </row>
    <row r="178" spans="1:9">
      <c r="A178" s="41">
        <v>173</v>
      </c>
      <c r="B178" s="42" t="s">
        <v>397</v>
      </c>
      <c r="C178" s="42">
        <v>106</v>
      </c>
      <c r="D178" s="43">
        <v>945</v>
      </c>
      <c r="E178" s="44">
        <v>1089</v>
      </c>
      <c r="F178" s="44">
        <v>1360</v>
      </c>
      <c r="G178" s="45">
        <v>69.13</v>
      </c>
      <c r="H178" s="42" t="s">
        <v>393</v>
      </c>
      <c r="I178" s="48" t="s">
        <v>390</v>
      </c>
    </row>
    <row r="179" spans="1:9">
      <c r="A179" s="41">
        <v>174</v>
      </c>
      <c r="B179" s="42" t="s">
        <v>397</v>
      </c>
      <c r="C179" s="42">
        <v>201</v>
      </c>
      <c r="D179" s="43">
        <v>945</v>
      </c>
      <c r="E179" s="44">
        <v>1089</v>
      </c>
      <c r="F179" s="44">
        <v>1360</v>
      </c>
      <c r="G179" s="45">
        <v>69.13</v>
      </c>
      <c r="H179" s="42" t="s">
        <v>393</v>
      </c>
      <c r="I179" s="48" t="s">
        <v>390</v>
      </c>
    </row>
    <row r="180" spans="1:9">
      <c r="A180" s="41">
        <v>175</v>
      </c>
      <c r="B180" s="42" t="s">
        <v>397</v>
      </c>
      <c r="C180" s="42">
        <v>202</v>
      </c>
      <c r="D180" s="43">
        <v>945</v>
      </c>
      <c r="E180" s="44">
        <v>1089</v>
      </c>
      <c r="F180" s="44">
        <v>1360</v>
      </c>
      <c r="G180" s="45">
        <v>69.13</v>
      </c>
      <c r="H180" s="42" t="s">
        <v>393</v>
      </c>
      <c r="I180" s="48" t="s">
        <v>390</v>
      </c>
    </row>
    <row r="181" spans="1:9">
      <c r="A181" s="41">
        <v>176</v>
      </c>
      <c r="B181" s="42" t="s">
        <v>397</v>
      </c>
      <c r="C181" s="42">
        <v>204</v>
      </c>
      <c r="D181" s="43">
        <v>945</v>
      </c>
      <c r="E181" s="44">
        <v>1089</v>
      </c>
      <c r="F181" s="44">
        <v>1360</v>
      </c>
      <c r="G181" s="45">
        <v>69.13</v>
      </c>
      <c r="H181" s="42" t="s">
        <v>393</v>
      </c>
      <c r="I181" s="48" t="s">
        <v>390</v>
      </c>
    </row>
    <row r="182" spans="1:9">
      <c r="A182" s="41">
        <v>177</v>
      </c>
      <c r="B182" s="42" t="s">
        <v>397</v>
      </c>
      <c r="C182" s="42">
        <v>205</v>
      </c>
      <c r="D182" s="43">
        <v>945</v>
      </c>
      <c r="E182" s="44">
        <v>1089</v>
      </c>
      <c r="F182" s="44">
        <v>1360</v>
      </c>
      <c r="G182" s="45">
        <v>69.13</v>
      </c>
      <c r="H182" s="42" t="s">
        <v>393</v>
      </c>
      <c r="I182" s="48" t="s">
        <v>390</v>
      </c>
    </row>
    <row r="183" spans="1:9">
      <c r="A183" s="41">
        <v>178</v>
      </c>
      <c r="B183" s="42" t="s">
        <v>397</v>
      </c>
      <c r="C183" s="42">
        <v>207</v>
      </c>
      <c r="D183" s="43">
        <v>945</v>
      </c>
      <c r="E183" s="44">
        <v>1089</v>
      </c>
      <c r="F183" s="44">
        <v>1360</v>
      </c>
      <c r="G183" s="45">
        <v>69.13</v>
      </c>
      <c r="H183" s="42" t="s">
        <v>389</v>
      </c>
      <c r="I183" s="48" t="s">
        <v>390</v>
      </c>
    </row>
    <row r="184" spans="1:9">
      <c r="A184" s="41">
        <v>179</v>
      </c>
      <c r="B184" s="42" t="s">
        <v>397</v>
      </c>
      <c r="C184" s="42">
        <v>301</v>
      </c>
      <c r="D184" s="43">
        <v>945</v>
      </c>
      <c r="E184" s="44">
        <v>1089</v>
      </c>
      <c r="F184" s="44">
        <v>1360</v>
      </c>
      <c r="G184" s="45">
        <v>69.13</v>
      </c>
      <c r="H184" s="42" t="s">
        <v>389</v>
      </c>
      <c r="I184" s="48" t="s">
        <v>390</v>
      </c>
    </row>
    <row r="185" spans="1:9">
      <c r="A185" s="41">
        <v>180</v>
      </c>
      <c r="B185" s="42" t="s">
        <v>397</v>
      </c>
      <c r="C185" s="42">
        <v>303</v>
      </c>
      <c r="D185" s="43">
        <v>945</v>
      </c>
      <c r="E185" s="44">
        <v>1089</v>
      </c>
      <c r="F185" s="44">
        <v>1360</v>
      </c>
      <c r="G185" s="45">
        <v>69.13</v>
      </c>
      <c r="H185" s="42" t="s">
        <v>389</v>
      </c>
      <c r="I185" s="48" t="s">
        <v>390</v>
      </c>
    </row>
    <row r="186" spans="1:9">
      <c r="A186" s="41">
        <v>181</v>
      </c>
      <c r="B186" s="42" t="s">
        <v>397</v>
      </c>
      <c r="C186" s="42">
        <v>304</v>
      </c>
      <c r="D186" s="43">
        <v>945</v>
      </c>
      <c r="E186" s="44">
        <v>1089</v>
      </c>
      <c r="F186" s="44">
        <v>1360</v>
      </c>
      <c r="G186" s="45">
        <v>69.13</v>
      </c>
      <c r="H186" s="42" t="s">
        <v>389</v>
      </c>
      <c r="I186" s="48" t="s">
        <v>390</v>
      </c>
    </row>
    <row r="187" spans="1:9">
      <c r="A187" s="41">
        <v>182</v>
      </c>
      <c r="B187" s="42" t="s">
        <v>397</v>
      </c>
      <c r="C187" s="42">
        <v>306</v>
      </c>
      <c r="D187" s="43">
        <v>945</v>
      </c>
      <c r="E187" s="44">
        <v>1089</v>
      </c>
      <c r="F187" s="44">
        <v>1360</v>
      </c>
      <c r="G187" s="45">
        <v>69.13</v>
      </c>
      <c r="H187" s="42" t="s">
        <v>389</v>
      </c>
      <c r="I187" s="48" t="s">
        <v>390</v>
      </c>
    </row>
    <row r="188" spans="1:9">
      <c r="A188" s="41">
        <v>183</v>
      </c>
      <c r="B188" s="42" t="s">
        <v>397</v>
      </c>
      <c r="C188" s="42">
        <v>307</v>
      </c>
      <c r="D188" s="43">
        <v>945</v>
      </c>
      <c r="E188" s="44">
        <v>1089</v>
      </c>
      <c r="F188" s="44">
        <v>1360</v>
      </c>
      <c r="G188" s="45">
        <v>69.13</v>
      </c>
      <c r="H188" s="42" t="s">
        <v>389</v>
      </c>
      <c r="I188" s="48" t="s">
        <v>390</v>
      </c>
    </row>
    <row r="189" spans="1:9">
      <c r="A189" s="41">
        <v>184</v>
      </c>
      <c r="B189" s="42" t="s">
        <v>397</v>
      </c>
      <c r="C189" s="42">
        <v>402</v>
      </c>
      <c r="D189" s="42">
        <v>945</v>
      </c>
      <c r="E189" s="49">
        <v>1089</v>
      </c>
      <c r="F189" s="44">
        <v>1360</v>
      </c>
      <c r="G189" s="50">
        <v>69.13</v>
      </c>
      <c r="H189" s="50" t="s">
        <v>389</v>
      </c>
      <c r="I189" s="48" t="s">
        <v>390</v>
      </c>
    </row>
    <row r="190" spans="1:9">
      <c r="A190" s="41">
        <v>185</v>
      </c>
      <c r="B190" s="42" t="s">
        <v>397</v>
      </c>
      <c r="C190" s="42">
        <v>403</v>
      </c>
      <c r="D190" s="42">
        <v>945</v>
      </c>
      <c r="E190" s="49">
        <v>1089</v>
      </c>
      <c r="F190" s="44">
        <v>1360</v>
      </c>
      <c r="G190" s="50">
        <v>69.13</v>
      </c>
      <c r="H190" s="50" t="s">
        <v>389</v>
      </c>
      <c r="I190" s="48" t="s">
        <v>390</v>
      </c>
    </row>
    <row r="191" spans="1:9">
      <c r="A191" s="41">
        <v>186</v>
      </c>
      <c r="B191" s="42" t="s">
        <v>397</v>
      </c>
      <c r="C191" s="42">
        <v>405</v>
      </c>
      <c r="D191" s="42">
        <v>945</v>
      </c>
      <c r="E191" s="49">
        <v>1089</v>
      </c>
      <c r="F191" s="44">
        <v>1360</v>
      </c>
      <c r="G191" s="50">
        <v>69.13</v>
      </c>
      <c r="H191" s="50" t="s">
        <v>389</v>
      </c>
      <c r="I191" s="48" t="s">
        <v>390</v>
      </c>
    </row>
    <row r="192" spans="1:9">
      <c r="A192" s="41">
        <v>187</v>
      </c>
      <c r="B192" s="42" t="s">
        <v>397</v>
      </c>
      <c r="C192" s="42">
        <v>406</v>
      </c>
      <c r="D192" s="42">
        <v>945</v>
      </c>
      <c r="E192" s="49">
        <v>1089</v>
      </c>
      <c r="F192" s="44">
        <v>1360</v>
      </c>
      <c r="G192" s="50">
        <v>69.13</v>
      </c>
      <c r="H192" s="50" t="s">
        <v>389</v>
      </c>
      <c r="I192" s="48" t="s">
        <v>390</v>
      </c>
    </row>
    <row r="193" spans="1:9">
      <c r="A193" s="41">
        <v>188</v>
      </c>
      <c r="B193" s="42" t="s">
        <v>397</v>
      </c>
      <c r="C193" s="42">
        <v>501</v>
      </c>
      <c r="D193" s="42">
        <v>945</v>
      </c>
      <c r="E193" s="49">
        <v>1089</v>
      </c>
      <c r="F193" s="44">
        <v>1360</v>
      </c>
      <c r="G193" s="50">
        <v>69.13</v>
      </c>
      <c r="H193" s="50" t="s">
        <v>389</v>
      </c>
      <c r="I193" s="48" t="s">
        <v>390</v>
      </c>
    </row>
    <row r="194" spans="1:9">
      <c r="A194" s="41">
        <v>189</v>
      </c>
      <c r="B194" s="42" t="s">
        <v>397</v>
      </c>
      <c r="C194" s="42">
        <v>502</v>
      </c>
      <c r="D194" s="42">
        <v>945</v>
      </c>
      <c r="E194" s="49">
        <v>1089</v>
      </c>
      <c r="F194" s="44">
        <v>1360</v>
      </c>
      <c r="G194" s="50">
        <v>69.13</v>
      </c>
      <c r="H194" s="50" t="s">
        <v>389</v>
      </c>
      <c r="I194" s="48" t="s">
        <v>390</v>
      </c>
    </row>
    <row r="195" spans="1:9">
      <c r="A195" s="41">
        <v>190</v>
      </c>
      <c r="B195" s="42" t="s">
        <v>397</v>
      </c>
      <c r="C195" s="42">
        <v>504</v>
      </c>
      <c r="D195" s="42">
        <v>945</v>
      </c>
      <c r="E195" s="49">
        <v>1089</v>
      </c>
      <c r="F195" s="44">
        <v>1360</v>
      </c>
      <c r="G195" s="50">
        <v>69.13</v>
      </c>
      <c r="H195" s="50" t="s">
        <v>389</v>
      </c>
      <c r="I195" s="48" t="s">
        <v>390</v>
      </c>
    </row>
    <row r="196" spans="1:9">
      <c r="A196" s="41">
        <v>191</v>
      </c>
      <c r="B196" s="42" t="s">
        <v>397</v>
      </c>
      <c r="C196" s="42">
        <v>505</v>
      </c>
      <c r="D196" s="42">
        <v>945</v>
      </c>
      <c r="E196" s="49">
        <v>1089</v>
      </c>
      <c r="F196" s="44">
        <v>1360</v>
      </c>
      <c r="G196" s="50">
        <v>69.13</v>
      </c>
      <c r="H196" s="50" t="s">
        <v>389</v>
      </c>
      <c r="I196" s="48" t="s">
        <v>390</v>
      </c>
    </row>
    <row r="197" spans="1:9">
      <c r="A197" s="41">
        <v>192</v>
      </c>
      <c r="B197" s="42" t="s">
        <v>397</v>
      </c>
      <c r="C197" s="42">
        <v>507</v>
      </c>
      <c r="D197" s="42">
        <v>945</v>
      </c>
      <c r="E197" s="49">
        <v>1089</v>
      </c>
      <c r="F197" s="44">
        <v>1360</v>
      </c>
      <c r="G197" s="50">
        <v>69.13</v>
      </c>
      <c r="H197" s="50" t="s">
        <v>389</v>
      </c>
      <c r="I197" s="48" t="s">
        <v>390</v>
      </c>
    </row>
    <row r="198" spans="1:9">
      <c r="A198" s="41">
        <v>193</v>
      </c>
      <c r="B198" s="42" t="s">
        <v>397</v>
      </c>
      <c r="C198" s="42">
        <v>601</v>
      </c>
      <c r="D198" s="42">
        <v>945</v>
      </c>
      <c r="E198" s="49">
        <v>1089</v>
      </c>
      <c r="F198" s="44">
        <v>1360</v>
      </c>
      <c r="G198" s="50">
        <v>69.13</v>
      </c>
      <c r="H198" s="50" t="s">
        <v>389</v>
      </c>
      <c r="I198" s="48" t="s">
        <v>390</v>
      </c>
    </row>
    <row r="199" spans="1:9">
      <c r="A199" s="41">
        <v>194</v>
      </c>
      <c r="B199" s="42" t="s">
        <v>397</v>
      </c>
      <c r="C199" s="42">
        <v>603</v>
      </c>
      <c r="D199" s="42">
        <v>945</v>
      </c>
      <c r="E199" s="49">
        <v>1089</v>
      </c>
      <c r="F199" s="44">
        <v>1360</v>
      </c>
      <c r="G199" s="50">
        <v>69.13</v>
      </c>
      <c r="H199" s="50" t="s">
        <v>389</v>
      </c>
      <c r="I199" s="48" t="s">
        <v>390</v>
      </c>
    </row>
    <row r="200" spans="1:9">
      <c r="A200" s="41">
        <v>195</v>
      </c>
      <c r="B200" s="42" t="s">
        <v>397</v>
      </c>
      <c r="C200" s="42">
        <v>604</v>
      </c>
      <c r="D200" s="42">
        <v>945</v>
      </c>
      <c r="E200" s="49">
        <v>1089</v>
      </c>
      <c r="F200" s="44">
        <v>1360</v>
      </c>
      <c r="G200" s="50">
        <v>69.13</v>
      </c>
      <c r="H200" s="50" t="s">
        <v>389</v>
      </c>
      <c r="I200" s="48" t="s">
        <v>390</v>
      </c>
    </row>
    <row r="201" spans="1:9">
      <c r="A201" s="41">
        <v>196</v>
      </c>
      <c r="B201" s="42" t="s">
        <v>397</v>
      </c>
      <c r="C201" s="42">
        <v>606</v>
      </c>
      <c r="D201" s="42">
        <v>945</v>
      </c>
      <c r="E201" s="49">
        <v>1089</v>
      </c>
      <c r="F201" s="44">
        <v>1360</v>
      </c>
      <c r="G201" s="50">
        <v>69.13</v>
      </c>
      <c r="H201" s="50" t="s">
        <v>393</v>
      </c>
      <c r="I201" s="48" t="s">
        <v>390</v>
      </c>
    </row>
    <row r="202" spans="1:9">
      <c r="A202" s="41">
        <v>197</v>
      </c>
      <c r="B202" s="42" t="s">
        <v>397</v>
      </c>
      <c r="C202" s="42">
        <v>607</v>
      </c>
      <c r="D202" s="42">
        <v>945</v>
      </c>
      <c r="E202" s="49">
        <v>1089</v>
      </c>
      <c r="F202" s="44">
        <v>1360</v>
      </c>
      <c r="G202" s="50">
        <v>69.13</v>
      </c>
      <c r="H202" s="50" t="s">
        <v>389</v>
      </c>
      <c r="I202" s="48" t="s">
        <v>390</v>
      </c>
    </row>
    <row r="203" spans="1:9">
      <c r="A203" s="41">
        <v>198</v>
      </c>
      <c r="B203" s="42" t="s">
        <v>398</v>
      </c>
      <c r="C203" s="42">
        <v>102</v>
      </c>
      <c r="D203" s="42">
        <v>945</v>
      </c>
      <c r="E203" s="49">
        <v>1089</v>
      </c>
      <c r="F203" s="44">
        <v>1360</v>
      </c>
      <c r="G203" s="50">
        <v>69.13</v>
      </c>
      <c r="H203" s="50" t="s">
        <v>393</v>
      </c>
      <c r="I203" s="48" t="s">
        <v>390</v>
      </c>
    </row>
    <row r="204" spans="1:9">
      <c r="A204" s="41">
        <v>199</v>
      </c>
      <c r="B204" s="42" t="s">
        <v>398</v>
      </c>
      <c r="C204" s="42">
        <v>103</v>
      </c>
      <c r="D204" s="42">
        <v>945</v>
      </c>
      <c r="E204" s="49">
        <v>1089</v>
      </c>
      <c r="F204" s="44">
        <v>1360</v>
      </c>
      <c r="G204" s="50">
        <v>69.13</v>
      </c>
      <c r="H204" s="50" t="s">
        <v>393</v>
      </c>
      <c r="I204" s="48" t="s">
        <v>390</v>
      </c>
    </row>
    <row r="205" spans="1:9">
      <c r="A205" s="41">
        <v>200</v>
      </c>
      <c r="B205" s="42" t="s">
        <v>398</v>
      </c>
      <c r="C205" s="42">
        <v>105</v>
      </c>
      <c r="D205" s="42">
        <v>945</v>
      </c>
      <c r="E205" s="49">
        <v>1089</v>
      </c>
      <c r="F205" s="44">
        <v>1360</v>
      </c>
      <c r="G205" s="50">
        <v>69.13</v>
      </c>
      <c r="H205" s="50" t="s">
        <v>389</v>
      </c>
      <c r="I205" s="48" t="s">
        <v>390</v>
      </c>
    </row>
    <row r="206" spans="1:9">
      <c r="A206" s="41">
        <v>201</v>
      </c>
      <c r="B206" s="42" t="s">
        <v>398</v>
      </c>
      <c r="C206" s="42">
        <v>106</v>
      </c>
      <c r="D206" s="42">
        <v>945</v>
      </c>
      <c r="E206" s="49">
        <v>1089</v>
      </c>
      <c r="F206" s="44">
        <v>1360</v>
      </c>
      <c r="G206" s="50">
        <v>69.13</v>
      </c>
      <c r="H206" s="50" t="s">
        <v>393</v>
      </c>
      <c r="I206" s="48" t="s">
        <v>390</v>
      </c>
    </row>
    <row r="207" spans="1:9">
      <c r="A207" s="41">
        <v>202</v>
      </c>
      <c r="B207" s="42" t="s">
        <v>398</v>
      </c>
      <c r="C207" s="42">
        <v>201</v>
      </c>
      <c r="D207" s="42">
        <v>945</v>
      </c>
      <c r="E207" s="49">
        <v>1089</v>
      </c>
      <c r="F207" s="44">
        <v>1360</v>
      </c>
      <c r="G207" s="50">
        <v>69.13</v>
      </c>
      <c r="H207" s="50" t="s">
        <v>393</v>
      </c>
      <c r="I207" s="48" t="s">
        <v>390</v>
      </c>
    </row>
    <row r="208" spans="1:9">
      <c r="A208" s="41">
        <v>203</v>
      </c>
      <c r="B208" s="42" t="s">
        <v>398</v>
      </c>
      <c r="C208" s="42">
        <v>202</v>
      </c>
      <c r="D208" s="42">
        <v>945</v>
      </c>
      <c r="E208" s="49">
        <v>1089</v>
      </c>
      <c r="F208" s="44">
        <v>1360</v>
      </c>
      <c r="G208" s="50">
        <v>69.13</v>
      </c>
      <c r="H208" s="50" t="s">
        <v>393</v>
      </c>
      <c r="I208" s="48" t="s">
        <v>390</v>
      </c>
    </row>
    <row r="209" spans="1:9">
      <c r="A209" s="41">
        <v>204</v>
      </c>
      <c r="B209" s="42" t="s">
        <v>398</v>
      </c>
      <c r="C209" s="42">
        <v>204</v>
      </c>
      <c r="D209" s="42">
        <v>945</v>
      </c>
      <c r="E209" s="49">
        <v>1089</v>
      </c>
      <c r="F209" s="44">
        <v>1360</v>
      </c>
      <c r="G209" s="50">
        <v>69.13</v>
      </c>
      <c r="H209" s="50" t="s">
        <v>389</v>
      </c>
      <c r="I209" s="48" t="s">
        <v>390</v>
      </c>
    </row>
    <row r="210" spans="1:9">
      <c r="A210" s="41">
        <v>205</v>
      </c>
      <c r="B210" s="42" t="s">
        <v>398</v>
      </c>
      <c r="C210" s="42">
        <v>205</v>
      </c>
      <c r="D210" s="42">
        <v>945</v>
      </c>
      <c r="E210" s="49">
        <v>1089</v>
      </c>
      <c r="F210" s="44">
        <v>1360</v>
      </c>
      <c r="G210" s="50">
        <v>69.13</v>
      </c>
      <c r="H210" s="50" t="s">
        <v>393</v>
      </c>
      <c r="I210" s="48" t="s">
        <v>390</v>
      </c>
    </row>
    <row r="211" spans="1:9">
      <c r="A211" s="41">
        <v>206</v>
      </c>
      <c r="B211" s="42" t="s">
        <v>398</v>
      </c>
      <c r="C211" s="42">
        <v>207</v>
      </c>
      <c r="D211" s="42">
        <v>945</v>
      </c>
      <c r="E211" s="49">
        <v>1089</v>
      </c>
      <c r="F211" s="44">
        <v>1360</v>
      </c>
      <c r="G211" s="50">
        <v>69.13</v>
      </c>
      <c r="H211" s="50" t="s">
        <v>389</v>
      </c>
      <c r="I211" s="48" t="s">
        <v>390</v>
      </c>
    </row>
    <row r="212" spans="1:9">
      <c r="A212" s="41">
        <v>207</v>
      </c>
      <c r="B212" s="42" t="s">
        <v>398</v>
      </c>
      <c r="C212" s="42">
        <v>301</v>
      </c>
      <c r="D212" s="42">
        <v>945</v>
      </c>
      <c r="E212" s="49">
        <v>1089</v>
      </c>
      <c r="F212" s="44">
        <v>1360</v>
      </c>
      <c r="G212" s="50">
        <v>69.13</v>
      </c>
      <c r="H212" s="50" t="s">
        <v>389</v>
      </c>
      <c r="I212" s="48" t="s">
        <v>390</v>
      </c>
    </row>
    <row r="213" spans="1:9">
      <c r="A213" s="41">
        <v>208</v>
      </c>
      <c r="B213" s="42" t="s">
        <v>398</v>
      </c>
      <c r="C213" s="42">
        <v>303</v>
      </c>
      <c r="D213" s="42">
        <v>945</v>
      </c>
      <c r="E213" s="49">
        <v>1089</v>
      </c>
      <c r="F213" s="44">
        <v>1360</v>
      </c>
      <c r="G213" s="50">
        <v>69.13</v>
      </c>
      <c r="H213" s="50" t="s">
        <v>389</v>
      </c>
      <c r="I213" s="48" t="s">
        <v>390</v>
      </c>
    </row>
    <row r="214" spans="1:9">
      <c r="A214" s="41">
        <v>209</v>
      </c>
      <c r="B214" s="42" t="s">
        <v>398</v>
      </c>
      <c r="C214" s="42">
        <v>304</v>
      </c>
      <c r="D214" s="42">
        <v>945</v>
      </c>
      <c r="E214" s="49">
        <v>1089</v>
      </c>
      <c r="F214" s="44">
        <v>1360</v>
      </c>
      <c r="G214" s="50">
        <v>69.13</v>
      </c>
      <c r="H214" s="50" t="s">
        <v>389</v>
      </c>
      <c r="I214" s="48" t="s">
        <v>390</v>
      </c>
    </row>
    <row r="215" spans="1:9">
      <c r="A215" s="41">
        <v>210</v>
      </c>
      <c r="B215" s="42" t="s">
        <v>398</v>
      </c>
      <c r="C215" s="42">
        <v>306</v>
      </c>
      <c r="D215" s="42">
        <v>945</v>
      </c>
      <c r="E215" s="49">
        <v>1089</v>
      </c>
      <c r="F215" s="44">
        <v>1360</v>
      </c>
      <c r="G215" s="50">
        <v>69.13</v>
      </c>
      <c r="H215" s="50" t="s">
        <v>389</v>
      </c>
      <c r="I215" s="48" t="s">
        <v>390</v>
      </c>
    </row>
    <row r="216" spans="1:9">
      <c r="A216" s="41">
        <v>211</v>
      </c>
      <c r="B216" s="42" t="s">
        <v>398</v>
      </c>
      <c r="C216" s="42">
        <v>402</v>
      </c>
      <c r="D216" s="42">
        <v>945</v>
      </c>
      <c r="E216" s="49">
        <v>1089</v>
      </c>
      <c r="F216" s="44">
        <v>1360</v>
      </c>
      <c r="G216" s="50">
        <v>69.13</v>
      </c>
      <c r="H216" s="50" t="s">
        <v>389</v>
      </c>
      <c r="I216" s="48" t="s">
        <v>390</v>
      </c>
    </row>
    <row r="217" spans="1:9">
      <c r="A217" s="41">
        <v>212</v>
      </c>
      <c r="B217" s="42" t="s">
        <v>398</v>
      </c>
      <c r="C217" s="42">
        <v>403</v>
      </c>
      <c r="D217" s="42">
        <v>945</v>
      </c>
      <c r="E217" s="49">
        <v>1089</v>
      </c>
      <c r="F217" s="44">
        <v>1360</v>
      </c>
      <c r="G217" s="50">
        <v>69.13</v>
      </c>
      <c r="H217" s="50" t="s">
        <v>389</v>
      </c>
      <c r="I217" s="48" t="s">
        <v>390</v>
      </c>
    </row>
    <row r="218" spans="1:9">
      <c r="A218" s="41">
        <v>213</v>
      </c>
      <c r="B218" s="42" t="s">
        <v>398</v>
      </c>
      <c r="C218" s="42">
        <v>405</v>
      </c>
      <c r="D218" s="42">
        <v>945</v>
      </c>
      <c r="E218" s="49">
        <v>1089</v>
      </c>
      <c r="F218" s="44">
        <v>1360</v>
      </c>
      <c r="G218" s="50">
        <v>69.13</v>
      </c>
      <c r="H218" s="50" t="s">
        <v>389</v>
      </c>
      <c r="I218" s="48" t="s">
        <v>390</v>
      </c>
    </row>
    <row r="219" spans="1:9">
      <c r="A219" s="41">
        <v>214</v>
      </c>
      <c r="B219" s="42" t="s">
        <v>398</v>
      </c>
      <c r="C219" s="42">
        <v>406</v>
      </c>
      <c r="D219" s="42">
        <v>945</v>
      </c>
      <c r="E219" s="49">
        <v>1089</v>
      </c>
      <c r="F219" s="44">
        <v>1360</v>
      </c>
      <c r="G219" s="50">
        <v>69.13</v>
      </c>
      <c r="H219" s="50" t="s">
        <v>389</v>
      </c>
      <c r="I219" s="48" t="s">
        <v>390</v>
      </c>
    </row>
    <row r="220" spans="1:9">
      <c r="A220" s="41">
        <v>215</v>
      </c>
      <c r="B220" s="42" t="s">
        <v>398</v>
      </c>
      <c r="C220" s="42">
        <v>501</v>
      </c>
      <c r="D220" s="42">
        <v>945</v>
      </c>
      <c r="E220" s="49">
        <v>1089</v>
      </c>
      <c r="F220" s="44">
        <v>1360</v>
      </c>
      <c r="G220" s="50">
        <v>69.13</v>
      </c>
      <c r="H220" s="50" t="s">
        <v>389</v>
      </c>
      <c r="I220" s="48" t="s">
        <v>390</v>
      </c>
    </row>
    <row r="221" spans="1:9">
      <c r="A221" s="41">
        <v>216</v>
      </c>
      <c r="B221" s="42" t="s">
        <v>398</v>
      </c>
      <c r="C221" s="42">
        <v>502</v>
      </c>
      <c r="D221" s="42">
        <v>945</v>
      </c>
      <c r="E221" s="49">
        <v>1089</v>
      </c>
      <c r="F221" s="44">
        <v>1360</v>
      </c>
      <c r="G221" s="50">
        <v>69.13</v>
      </c>
      <c r="H221" s="50" t="s">
        <v>389</v>
      </c>
      <c r="I221" s="48" t="s">
        <v>390</v>
      </c>
    </row>
    <row r="222" spans="1:9">
      <c r="A222" s="41">
        <v>217</v>
      </c>
      <c r="B222" s="42" t="s">
        <v>398</v>
      </c>
      <c r="C222" s="42">
        <v>504</v>
      </c>
      <c r="D222" s="42">
        <v>945</v>
      </c>
      <c r="E222" s="49">
        <v>1089</v>
      </c>
      <c r="F222" s="44">
        <v>1360</v>
      </c>
      <c r="G222" s="50">
        <v>69.13</v>
      </c>
      <c r="H222" s="50" t="s">
        <v>389</v>
      </c>
      <c r="I222" s="48" t="s">
        <v>390</v>
      </c>
    </row>
    <row r="223" spans="1:9">
      <c r="A223" s="41">
        <v>218</v>
      </c>
      <c r="B223" s="42" t="s">
        <v>398</v>
      </c>
      <c r="C223" s="42">
        <v>505</v>
      </c>
      <c r="D223" s="42">
        <v>945</v>
      </c>
      <c r="E223" s="49">
        <v>1089</v>
      </c>
      <c r="F223" s="44">
        <v>1360</v>
      </c>
      <c r="G223" s="50">
        <v>69.13</v>
      </c>
      <c r="H223" s="50" t="s">
        <v>389</v>
      </c>
      <c r="I223" s="48" t="s">
        <v>390</v>
      </c>
    </row>
    <row r="224" spans="1:9">
      <c r="A224" s="41">
        <v>219</v>
      </c>
      <c r="B224" s="42" t="s">
        <v>398</v>
      </c>
      <c r="C224" s="42">
        <v>507</v>
      </c>
      <c r="D224" s="42">
        <v>945</v>
      </c>
      <c r="E224" s="49">
        <v>1089</v>
      </c>
      <c r="F224" s="44">
        <v>1360</v>
      </c>
      <c r="G224" s="50">
        <v>69.13</v>
      </c>
      <c r="H224" s="50" t="s">
        <v>389</v>
      </c>
      <c r="I224" s="48" t="s">
        <v>390</v>
      </c>
    </row>
    <row r="225" spans="1:9">
      <c r="A225" s="41">
        <v>220</v>
      </c>
      <c r="B225" s="42" t="s">
        <v>398</v>
      </c>
      <c r="C225" s="42">
        <v>601</v>
      </c>
      <c r="D225" s="42">
        <v>945</v>
      </c>
      <c r="E225" s="49">
        <v>1089</v>
      </c>
      <c r="F225" s="44">
        <v>1360</v>
      </c>
      <c r="G225" s="50">
        <v>69.13</v>
      </c>
      <c r="H225" s="50" t="s">
        <v>389</v>
      </c>
      <c r="I225" s="48" t="s">
        <v>390</v>
      </c>
    </row>
    <row r="226" spans="1:9">
      <c r="A226" s="41">
        <v>221</v>
      </c>
      <c r="B226" s="42" t="s">
        <v>398</v>
      </c>
      <c r="C226" s="42">
        <v>603</v>
      </c>
      <c r="D226" s="42">
        <v>945</v>
      </c>
      <c r="E226" s="49">
        <v>1089</v>
      </c>
      <c r="F226" s="44">
        <v>1360</v>
      </c>
      <c r="G226" s="50">
        <v>69.13</v>
      </c>
      <c r="H226" s="50" t="s">
        <v>393</v>
      </c>
      <c r="I226" s="48" t="s">
        <v>390</v>
      </c>
    </row>
    <row r="227" spans="1:9">
      <c r="A227" s="41">
        <v>222</v>
      </c>
      <c r="B227" s="42" t="s">
        <v>398</v>
      </c>
      <c r="C227" s="42">
        <v>604</v>
      </c>
      <c r="D227" s="42">
        <v>945</v>
      </c>
      <c r="E227" s="49">
        <v>1089</v>
      </c>
      <c r="F227" s="44">
        <v>1360</v>
      </c>
      <c r="G227" s="50">
        <v>69.13</v>
      </c>
      <c r="H227" s="50" t="s">
        <v>389</v>
      </c>
      <c r="I227" s="48" t="s">
        <v>390</v>
      </c>
    </row>
    <row r="228" spans="1:9">
      <c r="A228" s="41">
        <v>223</v>
      </c>
      <c r="B228" s="42" t="s">
        <v>398</v>
      </c>
      <c r="C228" s="42">
        <v>606</v>
      </c>
      <c r="D228" s="42">
        <v>945</v>
      </c>
      <c r="E228" s="49">
        <v>1089</v>
      </c>
      <c r="F228" s="44">
        <v>1360</v>
      </c>
      <c r="G228" s="50">
        <v>69.13</v>
      </c>
      <c r="H228" s="50" t="s">
        <v>393</v>
      </c>
      <c r="I228" s="48" t="s">
        <v>390</v>
      </c>
    </row>
    <row r="229" spans="1:9">
      <c r="A229" s="41">
        <v>224</v>
      </c>
      <c r="B229" s="42" t="s">
        <v>398</v>
      </c>
      <c r="C229" s="42">
        <v>607</v>
      </c>
      <c r="D229" s="42">
        <v>945</v>
      </c>
      <c r="E229" s="49">
        <v>1089</v>
      </c>
      <c r="F229" s="44">
        <v>1360</v>
      </c>
      <c r="G229" s="50">
        <v>69.13</v>
      </c>
      <c r="H229" s="50" t="s">
        <v>389</v>
      </c>
      <c r="I229" s="48" t="s">
        <v>390</v>
      </c>
    </row>
    <row r="230" ht="13.5" spans="1:9">
      <c r="A230" s="51"/>
      <c r="B230" s="52" t="s">
        <v>399</v>
      </c>
      <c r="C230" s="52"/>
      <c r="D230" s="53">
        <v>239760</v>
      </c>
      <c r="E230" s="53">
        <v>272016</v>
      </c>
      <c r="F230" s="53">
        <v>339740</v>
      </c>
      <c r="G230" s="53">
        <v>17269.3699999999</v>
      </c>
      <c r="H230" s="54"/>
      <c r="I230" s="55"/>
    </row>
  </sheetData>
  <printOptions gridLines="1"/>
  <pageMargins left="0.708661417322835" right="0.708661417322835" top="0.551181102362205" bottom="0.551181102362205" header="0.31496062992126" footer="0.31496062992126"/>
  <pageSetup paperSize="9" orientation="portrait"/>
  <headerFooter>
    <oddHeader>&amp;C&amp;F
&amp;A</oddHeader>
    <oddFooter>&amp;CPage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0"/>
  <sheetViews>
    <sheetView workbookViewId="0">
      <selection activeCell="I20" sqref="I20"/>
    </sheetView>
  </sheetViews>
  <sheetFormatPr defaultColWidth="9.14285714285714" defaultRowHeight="12.75" outlineLevelCol="7"/>
  <cols>
    <col min="1" max="1" width="25.4285714285714" style="23" customWidth="1"/>
    <col min="2" max="2" width="42.7142857142857" style="23" customWidth="1"/>
    <col min="3" max="3" width="13" style="23" customWidth="1"/>
    <col min="4" max="16384" width="9.14285714285714" style="23"/>
  </cols>
  <sheetData>
    <row r="1" spans="1:8">
      <c r="A1" s="24" t="s">
        <v>0</v>
      </c>
      <c r="B1" s="25" t="s">
        <v>1</v>
      </c>
      <c r="E1" s="26"/>
      <c r="F1" s="26"/>
      <c r="G1" s="27"/>
      <c r="H1" s="27"/>
    </row>
    <row r="2" spans="1:8">
      <c r="A2" s="24" t="s">
        <v>4</v>
      </c>
      <c r="B2" s="25" t="s">
        <v>5</v>
      </c>
      <c r="E2" s="26"/>
      <c r="F2" s="26"/>
      <c r="G2" s="27"/>
      <c r="H2" s="27"/>
    </row>
    <row r="3" spans="1:2">
      <c r="A3" s="26" t="s">
        <v>2</v>
      </c>
      <c r="B3" s="25" t="s">
        <v>3</v>
      </c>
    </row>
    <row r="4" spans="1:2">
      <c r="A4" s="26" t="s">
        <v>6</v>
      </c>
      <c r="B4" s="28">
        <v>45291</v>
      </c>
    </row>
    <row r="6" spans="1:1">
      <c r="A6" s="23" t="s">
        <v>400</v>
      </c>
    </row>
    <row r="8" spans="1:2">
      <c r="A8" s="23" t="s">
        <v>401</v>
      </c>
      <c r="B8" s="23" t="s">
        <v>402</v>
      </c>
    </row>
    <row r="10" spans="1:3">
      <c r="A10" s="29">
        <v>1</v>
      </c>
      <c r="B10" s="30" t="s">
        <v>403</v>
      </c>
      <c r="C10" s="23" t="s">
        <v>404</v>
      </c>
    </row>
    <row r="11" spans="1:3">
      <c r="A11" s="29">
        <v>2</v>
      </c>
      <c r="B11" s="23" t="s">
        <v>405</v>
      </c>
      <c r="C11" s="31">
        <f>50000000+10000000+10000000</f>
        <v>70000000</v>
      </c>
    </row>
    <row r="12" spans="1:3">
      <c r="A12" s="29">
        <v>3</v>
      </c>
      <c r="B12" s="23" t="s">
        <v>406</v>
      </c>
      <c r="C12" s="31">
        <v>30000000</v>
      </c>
    </row>
    <row r="13" spans="1:3">
      <c r="A13" s="29">
        <v>4</v>
      </c>
      <c r="B13" s="23" t="s">
        <v>407</v>
      </c>
      <c r="C13" s="31">
        <v>56317722</v>
      </c>
    </row>
    <row r="15" spans="1:3">
      <c r="A15" s="23" t="s">
        <v>408</v>
      </c>
      <c r="B15" s="23" t="s">
        <v>409</v>
      </c>
      <c r="C15" s="32" t="s">
        <v>410</v>
      </c>
    </row>
    <row r="17" spans="1:2">
      <c r="A17" s="29">
        <v>1</v>
      </c>
      <c r="B17" s="23" t="s">
        <v>403</v>
      </c>
    </row>
    <row r="18" spans="1:3">
      <c r="A18" s="29">
        <v>2</v>
      </c>
      <c r="B18" s="23" t="s">
        <v>405</v>
      </c>
      <c r="C18" s="32"/>
    </row>
    <row r="19" spans="1:3">
      <c r="A19" s="29">
        <v>3</v>
      </c>
      <c r="B19" s="23" t="s">
        <v>406</v>
      </c>
      <c r="C19" s="32"/>
    </row>
    <row r="20" spans="1:3">
      <c r="A20" s="29">
        <v>4</v>
      </c>
      <c r="B20" s="23" t="s">
        <v>407</v>
      </c>
      <c r="C20" s="32"/>
    </row>
  </sheetData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3"/>
  <sheetViews>
    <sheetView workbookViewId="0">
      <selection activeCell="B24" sqref="B24"/>
    </sheetView>
  </sheetViews>
  <sheetFormatPr defaultColWidth="9.14285714285714" defaultRowHeight="15" outlineLevelCol="3"/>
  <cols>
    <col min="1" max="1" width="4.57142857142857" style="9" customWidth="1"/>
    <col min="2" max="2" width="93.5714285714286" style="9" customWidth="1"/>
    <col min="3" max="3" width="17.4285714285714" style="9" customWidth="1"/>
    <col min="4" max="4" width="13.5714285714286" style="9"/>
    <col min="5" max="16384" width="9.14285714285714" style="9"/>
  </cols>
  <sheetData>
    <row r="1" ht="15.75" customHeight="1" spans="1:1">
      <c r="A1" s="10" t="s">
        <v>411</v>
      </c>
    </row>
    <row r="2" ht="15.75" customHeight="1" spans="1:1">
      <c r="A2" s="10" t="s">
        <v>412</v>
      </c>
    </row>
    <row r="3" ht="15.75" customHeight="1" spans="1:1">
      <c r="A3" s="11" t="s">
        <v>413</v>
      </c>
    </row>
    <row r="4" ht="15.75" customHeight="1" spans="1:1">
      <c r="A4" s="11" t="s">
        <v>414</v>
      </c>
    </row>
    <row r="5" customHeight="1"/>
    <row r="6" customHeight="1" spans="1:1">
      <c r="A6" s="9" t="s">
        <v>415</v>
      </c>
    </row>
    <row r="7" customHeight="1"/>
    <row r="8" spans="1:4">
      <c r="A8" s="9" t="s">
        <v>416</v>
      </c>
      <c r="B8" s="12" t="s">
        <v>417</v>
      </c>
      <c r="C8" s="9">
        <v>171</v>
      </c>
      <c r="D8" s="13" t="s">
        <v>418</v>
      </c>
    </row>
    <row r="9" spans="1:3">
      <c r="A9" s="9" t="s">
        <v>419</v>
      </c>
      <c r="B9" s="14" t="s">
        <v>420</v>
      </c>
      <c r="C9" s="15">
        <v>47788886</v>
      </c>
    </row>
    <row r="10" s="9" customFormat="1" spans="1:3">
      <c r="A10" s="9" t="s">
        <v>421</v>
      </c>
      <c r="B10" s="14" t="s">
        <v>422</v>
      </c>
      <c r="C10" s="15">
        <f>C16</f>
        <v>17576785.6</v>
      </c>
    </row>
    <row r="11" spans="1:3">
      <c r="A11" s="9" t="s">
        <v>423</v>
      </c>
      <c r="B11" s="12" t="s">
        <v>424</v>
      </c>
      <c r="C11" s="16">
        <f>C10/C9</f>
        <v>0.367800697425757</v>
      </c>
    </row>
    <row r="13" spans="1:1">
      <c r="A13" s="9" t="s">
        <v>425</v>
      </c>
    </row>
    <row r="14" spans="1:3">
      <c r="A14" s="9" t="s">
        <v>416</v>
      </c>
      <c r="B14" s="12" t="s">
        <v>426</v>
      </c>
      <c r="C14" s="17">
        <v>45566</v>
      </c>
    </row>
    <row r="15" spans="1:3">
      <c r="A15" s="9" t="s">
        <v>419</v>
      </c>
      <c r="B15" s="18" t="s">
        <v>427</v>
      </c>
      <c r="C15" s="19">
        <v>865165.16</v>
      </c>
    </row>
    <row r="16" spans="1:3">
      <c r="A16" s="9" t="s">
        <v>421</v>
      </c>
      <c r="B16" s="12" t="s">
        <v>428</v>
      </c>
      <c r="C16" s="19">
        <v>17576785.6</v>
      </c>
    </row>
    <row r="17" spans="1:3">
      <c r="A17" s="9" t="s">
        <v>423</v>
      </c>
      <c r="B17" s="12" t="s">
        <v>429</v>
      </c>
      <c r="C17" s="19">
        <v>3644582</v>
      </c>
    </row>
    <row r="18" spans="1:4">
      <c r="A18" s="9" t="s">
        <v>430</v>
      </c>
      <c r="B18" s="12" t="s">
        <v>431</v>
      </c>
      <c r="C18" s="20">
        <v>19309774.52</v>
      </c>
      <c r="D18" s="21"/>
    </row>
    <row r="19" spans="1:3">
      <c r="A19" s="9" t="s">
        <v>432</v>
      </c>
      <c r="B19" s="12" t="s">
        <v>433</v>
      </c>
      <c r="C19" s="20">
        <v>0</v>
      </c>
    </row>
    <row r="20" spans="1:3">
      <c r="A20" s="9" t="s">
        <v>434</v>
      </c>
      <c r="B20" s="12" t="s">
        <v>435</v>
      </c>
      <c r="C20" s="19">
        <v>1911593.08</v>
      </c>
    </row>
    <row r="21" spans="1:3">
      <c r="A21" s="9" t="s">
        <v>436</v>
      </c>
      <c r="B21" s="12" t="s">
        <v>437</v>
      </c>
      <c r="C21" s="17">
        <v>45199</v>
      </c>
    </row>
    <row r="23" s="9" customFormat="1" spans="1:2">
      <c r="A23" s="22" t="s">
        <v>438</v>
      </c>
      <c r="B23" s="22"/>
    </row>
    <row r="24" spans="1:3">
      <c r="A24" s="9" t="s">
        <v>416</v>
      </c>
      <c r="B24" s="12" t="s">
        <v>439</v>
      </c>
      <c r="C24" s="19">
        <v>0</v>
      </c>
    </row>
    <row r="25" spans="1:3">
      <c r="A25" s="9" t="s">
        <v>419</v>
      </c>
      <c r="B25" s="12" t="s">
        <v>440</v>
      </c>
      <c r="C25" s="19">
        <v>0</v>
      </c>
    </row>
    <row r="26" spans="1:3">
      <c r="A26" s="9" t="s">
        <v>421</v>
      </c>
      <c r="B26" s="12" t="s">
        <v>441</v>
      </c>
      <c r="C26" s="19">
        <v>0</v>
      </c>
    </row>
    <row r="27" s="9" customFormat="1" spans="1:3">
      <c r="A27" s="9" t="s">
        <v>423</v>
      </c>
      <c r="B27" s="12" t="s">
        <v>442</v>
      </c>
      <c r="C27" s="19">
        <v>0</v>
      </c>
    </row>
    <row r="28" s="9" customFormat="1" spans="1:3">
      <c r="A28" s="9" t="s">
        <v>430</v>
      </c>
      <c r="B28" s="12" t="s">
        <v>443</v>
      </c>
      <c r="C28" s="19">
        <v>0</v>
      </c>
    </row>
    <row r="29" s="9" customFormat="1" spans="1:3">
      <c r="A29" s="9" t="s">
        <v>432</v>
      </c>
      <c r="B29" s="12" t="s">
        <v>444</v>
      </c>
      <c r="C29" s="19">
        <v>0</v>
      </c>
    </row>
    <row r="33" spans="3:3">
      <c r="C33" s="21"/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3"/>
  <sheetViews>
    <sheetView topLeftCell="A4" workbookViewId="0">
      <selection activeCell="C119" sqref="C119"/>
    </sheetView>
  </sheetViews>
  <sheetFormatPr defaultColWidth="14.552380952381" defaultRowHeight="12.75" outlineLevelCol="4"/>
  <cols>
    <col min="1" max="2" width="14.552380952381" style="1"/>
    <col min="3" max="3" width="23.6666666666667" style="2" customWidth="1"/>
    <col min="4" max="4" width="16.8857142857143" style="1" customWidth="1"/>
    <col min="5" max="5" width="31.8571428571429" style="1" customWidth="1"/>
    <col min="6" max="16384" width="14.552380952381" style="1"/>
  </cols>
  <sheetData>
    <row r="1" spans="1:5">
      <c r="A1" s="1" t="str">
        <f>[1]BS!A1</f>
        <v>ASSESSMENT YEAR</v>
      </c>
      <c r="C1" s="2" t="str">
        <f>[2]BS!C1</f>
        <v>2023-2024</v>
      </c>
      <c r="D1" s="1" t="str">
        <f>[1]BS!E1</f>
        <v>BALANCES AS ON:</v>
      </c>
      <c r="E1" s="3">
        <f>[2]BS!G1</f>
        <v>45016</v>
      </c>
    </row>
    <row r="2" spans="1:3">
      <c r="A2" s="1" t="str">
        <f>[1]BS!A2</f>
        <v>NAME OF THE ENTITY:</v>
      </c>
      <c r="C2" s="2" t="str">
        <f>[1]BS!C2</f>
        <v>M/s. MODI REALTY MALLAPUR LLP</v>
      </c>
    </row>
    <row r="3" spans="1:3">
      <c r="A3" s="4" t="s">
        <v>445</v>
      </c>
      <c r="B3" s="4"/>
      <c r="C3" s="4"/>
    </row>
    <row r="4" spans="1:3">
      <c r="A4" s="4" t="s">
        <v>446</v>
      </c>
      <c r="B4" s="4"/>
      <c r="C4" s="4"/>
    </row>
    <row r="6" spans="1:5">
      <c r="A6" s="1" t="s">
        <v>447</v>
      </c>
      <c r="C6" s="2">
        <v>347900</v>
      </c>
      <c r="D6" s="1" t="s">
        <v>448</v>
      </c>
      <c r="E6" s="5"/>
    </row>
    <row r="7" spans="1:5">
      <c r="A7" s="1" t="s">
        <v>449</v>
      </c>
      <c r="C7" s="2">
        <v>187540</v>
      </c>
      <c r="D7" s="1" t="s">
        <v>448</v>
      </c>
      <c r="E7" s="5"/>
    </row>
    <row r="9" spans="1:1">
      <c r="A9" s="1" t="s">
        <v>450</v>
      </c>
    </row>
    <row r="10" spans="1:4">
      <c r="A10" s="1" t="s">
        <v>451</v>
      </c>
      <c r="C10" s="2">
        <f>[2]PCM!H190</f>
        <v>4498.73942324296</v>
      </c>
      <c r="D10" s="1" t="s">
        <v>452</v>
      </c>
    </row>
    <row r="11" spans="1:4">
      <c r="A11" s="1" t="s">
        <v>453</v>
      </c>
      <c r="C11" s="2">
        <f>C10*C6</f>
        <v>1565111445.34623</v>
      </c>
      <c r="D11" s="1" t="s">
        <v>452</v>
      </c>
    </row>
    <row r="13" spans="1:1">
      <c r="A13" s="1" t="s">
        <v>454</v>
      </c>
    </row>
    <row r="14" spans="1:4">
      <c r="A14" s="1" t="s">
        <v>455</v>
      </c>
      <c r="C14" s="2">
        <v>0</v>
      </c>
      <c r="D14" s="1" t="s">
        <v>452</v>
      </c>
    </row>
    <row r="15" spans="1:4">
      <c r="A15" s="1" t="s">
        <v>456</v>
      </c>
      <c r="C15" s="2">
        <v>44330807</v>
      </c>
      <c r="D15" s="1" t="s">
        <v>452</v>
      </c>
    </row>
    <row r="16" spans="1:4">
      <c r="A16" s="1" t="s">
        <v>457</v>
      </c>
      <c r="C16" s="2">
        <v>2400</v>
      </c>
      <c r="D16" s="1" t="s">
        <v>452</v>
      </c>
    </row>
    <row r="17" spans="1:5">
      <c r="A17" s="6" t="s">
        <v>458</v>
      </c>
      <c r="B17" s="6"/>
      <c r="C17" s="7">
        <f>C16*(C6+C7)</f>
        <v>1285056000</v>
      </c>
      <c r="D17" s="6" t="s">
        <v>452</v>
      </c>
      <c r="E17" s="6" t="s">
        <v>459</v>
      </c>
    </row>
    <row r="19" spans="1:4">
      <c r="A19" s="1" t="s">
        <v>460</v>
      </c>
      <c r="C19" s="2">
        <f>C14+C15+C17</f>
        <v>1329386807</v>
      </c>
      <c r="D19" s="1" t="s">
        <v>452</v>
      </c>
    </row>
    <row r="21" spans="1:4">
      <c r="A21" s="1" t="s">
        <v>461</v>
      </c>
      <c r="C21" s="2">
        <f>C11-C19</f>
        <v>235724638.346226</v>
      </c>
      <c r="D21" s="1" t="s">
        <v>452</v>
      </c>
    </row>
    <row r="23" spans="1:3">
      <c r="A23" s="1" t="s">
        <v>462</v>
      </c>
      <c r="C23" s="8">
        <f>C21/C11</f>
        <v>0.150612046859117</v>
      </c>
    </row>
  </sheetData>
  <mergeCells count="2">
    <mergeCell ref="A3:C3"/>
    <mergeCell ref="A4:C4"/>
  </mergeCells>
  <printOptions gridLines="1"/>
  <pageMargins left="0.7" right="0.7" top="0.75" bottom="0.75" header="0.3" footer="0.3"/>
  <pageSetup paperSize="9" orientation="portrait"/>
  <headerFooter>
    <oddHeader>&amp;C&amp;F&amp;A</oddHeader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HP</Company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RERA sold units details</vt:lpstr>
      <vt:lpstr>Unit Details</vt:lpstr>
      <vt:lpstr>Loan Details</vt:lpstr>
      <vt:lpstr>Reconciliation</vt:lpstr>
      <vt:lpstr>Project Cost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rajyalakshmi</dc:creator>
  <cp:lastModifiedBy>Rajyalakshmi</cp:lastModifiedBy>
  <dcterms:created xsi:type="dcterms:W3CDTF">2023-07-14T07:57:00Z</dcterms:created>
  <cp:lastPrinted>2023-10-12T05:22:00Z</cp:lastPrinted>
  <dcterms:modified xsi:type="dcterms:W3CDTF">2024-05-13T15:16:06Z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0F11355126BB44B59864AAFC0AAD1D36_13</vt:lpwstr>
  </property>
  <property fmtid="{D5CDD505-2E9C-101B-9397-08002B2CF9AE}" pid="3" name="KSOProductBuildVer">
    <vt:lpwstr>1033-12.2.0.16909</vt:lpwstr>
  </property>
</Properties>
</file>