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activeTab="3"/>
  </bookViews>
  <sheets>
    <sheet name="Workings" sheetId="4" r:id="rId1"/>
    <sheet name="Sheet2" sheetId="8" r:id="rId2"/>
    <sheet name="Rera Sold units" sheetId="5" r:id="rId3"/>
    <sheet name="Promotors contribution" sheetId="6" r:id="rId4"/>
    <sheet name="Loan details" sheetId="9" r:id="rId5"/>
  </sheets>
  <externalReferences>
    <externalReference r:id="rId6"/>
  </externalReferences>
  <definedNames>
    <definedName name="_xlnm.Print_Titles" localSheetId="2">'Rera Sold units'!$5:$5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<sst xmlns="http://schemas.openxmlformats.org/spreadsheetml/2006/main" count="742" uniqueCount="508">
  <si>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</si>
  <si>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</si>
  <si>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</si>
  <si>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</si>
  <si>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</si>
  <si>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</si>
  <si>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</si>
  <si>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Financial Summary</t>
  </si>
  <si>
    <t>Statement for period upto :</t>
  </si>
  <si>
    <t>(Amounts in Rs.)</t>
  </si>
  <si>
    <t>Sl. No.</t>
  </si>
  <si>
    <t>Description</t>
  </si>
  <si>
    <t>FY 17-18</t>
  </si>
  <si>
    <t>FY 18-19</t>
  </si>
  <si>
    <t>FY 19-20</t>
  </si>
  <si>
    <t>FY 20-21</t>
  </si>
  <si>
    <t>FY 21-22</t>
  </si>
  <si>
    <t>FY 22-23</t>
  </si>
  <si>
    <t>FY23-24</t>
  </si>
  <si>
    <t>Total</t>
  </si>
  <si>
    <t>Source of funds</t>
  </si>
  <si>
    <t>Net receipts from sales</t>
  </si>
  <si>
    <t>Fixed Capital</t>
  </si>
  <si>
    <t>Loans received - unsecured</t>
  </si>
  <si>
    <t>Loans received - secured</t>
  </si>
  <si>
    <t>Subtotal  - funds</t>
  </si>
  <si>
    <t>Expenditure</t>
  </si>
  <si>
    <t>Towards land acquisition</t>
  </si>
  <si>
    <t>Towards security deposit for JDA</t>
  </si>
  <si>
    <t>Fees, charges, deposits for permits</t>
  </si>
  <si>
    <t>Finance charges (interest + fees)</t>
  </si>
  <si>
    <t>Administrative expenses</t>
  </si>
  <si>
    <t>Work in progress</t>
  </si>
  <si>
    <t>Secured Loan Repayment (Tata Capital)</t>
  </si>
  <si>
    <t>Advances paid to suppliers/contractors</t>
  </si>
  <si>
    <t>S.No.</t>
  </si>
  <si>
    <t>Particulars</t>
  </si>
  <si>
    <t>Cost Estimated (INR)</t>
  </si>
  <si>
    <t>Revised Estimate (INR)</t>
  </si>
  <si>
    <t>Amount Incurred</t>
  </si>
  <si>
    <t>Yet to be incurred</t>
  </si>
  <si>
    <t>Sanction Cost</t>
  </si>
  <si>
    <t>-</t>
  </si>
  <si>
    <t>Land Acquisition/JDA</t>
  </si>
  <si>
    <t>Construction Cost</t>
  </si>
  <si>
    <t>Financial Cost</t>
  </si>
  <si>
    <t>Admin Cost</t>
  </si>
  <si>
    <t>Re-payment-TATA Capital</t>
  </si>
  <si>
    <t>Advances to Suppliers/ Contractors</t>
  </si>
  <si>
    <t>Source of Funds</t>
  </si>
  <si>
    <t>Receipts from Customers</t>
  </si>
  <si>
    <t>Loan from NBFC (Tata Cap)</t>
  </si>
  <si>
    <t>Promoters Contribution / Investment from Associate Company</t>
  </si>
  <si>
    <t>Details required as per RERA rules.</t>
  </si>
  <si>
    <t>Apr-23 to Mar-24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</si>
  <si>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</si>
  <si>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</si>
  <si>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</si>
  <si>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</si>
  <si>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</si>
  <si>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</si>
  <si>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</si>
  <si>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</si>
  <si>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</si>
  <si>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</si>
  <si>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     FY 19-20</t>
  </si>
  <si>
    <t>Receipts -   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</si>
  <si>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</si>
  <si>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</si>
  <si>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</si>
  <si>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</si>
  <si>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</si>
  <si>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</si>
  <si>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</si>
  <si>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</si>
  <si>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</si>
  <si>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</si>
  <si>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</si>
  <si>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</si>
  <si>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</si>
  <si>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</si>
  <si>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</si>
  <si>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</si>
  <si>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</si>
  <si>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</si>
  <si>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</si>
  <si>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</si>
  <si>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</si>
  <si>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</si>
  <si>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</si>
  <si>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</si>
  <si>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</si>
  <si>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</si>
  <si>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</si>
  <si>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</si>
  <si>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</si>
  <si>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</si>
  <si>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</si>
  <si>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</si>
  <si>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</si>
  <si>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</si>
  <si>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</si>
  <si>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</si>
  <si>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</si>
  <si>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</si>
  <si>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</si>
  <si>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</si>
  <si>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</si>
  <si>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</si>
  <si>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</si>
  <si>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</si>
  <si>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</si>
  <si>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</si>
  <si>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</si>
  <si>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</si>
  <si>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</si>
  <si>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</si>
  <si>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</si>
  <si>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</si>
  <si>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</si>
  <si>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</si>
  <si>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</si>
  <si>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</si>
  <si>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</si>
  <si>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</si>
  <si>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</si>
  <si>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</si>
  <si>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</si>
  <si>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</si>
  <si>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</si>
  <si>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</si>
  <si>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</si>
  <si>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</si>
  <si>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</si>
  <si>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</si>
  <si>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</si>
  <si>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</si>
  <si>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</si>
  <si>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</si>
  <si>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</si>
  <si>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</si>
  <si>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</si>
  <si>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</si>
  <si>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</si>
  <si>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</si>
  <si>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</si>
  <si>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</si>
  <si>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</si>
  <si>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</si>
  <si>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</si>
  <si>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</si>
  <si>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</si>
  <si>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</si>
  <si>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Mr.Satish Reddy.N &amp; Mrs. Rishita Reddy</t>
  </si>
  <si>
    <t>B-305</t>
  </si>
  <si>
    <t>Mrs.Priyanka Kose &amp; Mr. Hemanth Likhitkar</t>
  </si>
  <si>
    <t>B-308</t>
  </si>
  <si>
    <t>Mr.Valiveti Purushottam &amp; Mrs. Sundari Valiveti</t>
  </si>
  <si>
    <t>B-402</t>
  </si>
  <si>
    <t>Mrs.Neelofer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</si>
  <si>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</si>
  <si>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</si>
  <si>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</si>
  <si>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</si>
  <si>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</si>
  <si>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</si>
  <si>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</si>
  <si>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</si>
  <si>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</si>
  <si>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</si>
  <si>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</si>
  <si>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</si>
  <si>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</si>
  <si>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</si>
  <si>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</si>
  <si>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</si>
  <si>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</si>
  <si>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</si>
  <si>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</si>
  <si>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</si>
  <si>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</si>
  <si>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</si>
  <si>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</si>
  <si>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</si>
  <si>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</si>
  <si>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</si>
  <si>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B-607</t>
  </si>
  <si>
    <t>Dr.Jaya Madhuri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</si>
  <si>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</si>
  <si>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</si>
  <si>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</si>
  <si>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</si>
  <si>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</si>
  <si>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</si>
  <si>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</si>
  <si>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</si>
  <si>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</si>
  <si>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</si>
  <si>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</si>
  <si>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</si>
  <si>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</si>
  <si>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</si>
  <si>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</si>
  <si>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</si>
  <si>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</si>
  <si>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</si>
  <si>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</si>
  <si>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</si>
  <si>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</si>
  <si>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</si>
  <si>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</si>
  <si>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</si>
  <si>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</si>
  <si>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</si>
  <si>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</si>
  <si>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</si>
  <si>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</si>
  <si>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</si>
  <si>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C-502</t>
  </si>
  <si>
    <t>Mr.Ramakant Singh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</si>
  <si>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</si>
  <si>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</si>
  <si>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</si>
  <si>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</si>
  <si>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</si>
  <si>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</si>
  <si>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</si>
  <si>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</si>
  <si>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</si>
  <si>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</si>
  <si>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</si>
  <si>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</si>
  <si>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</si>
  <si>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</si>
  <si>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</si>
  <si>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</si>
  <si>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</si>
  <si>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</si>
  <si>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</si>
  <si>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</si>
  <si>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</si>
  <si>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</si>
  <si>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</si>
  <si>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</si>
  <si>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</si>
  <si>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</si>
  <si>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</si>
  <si>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</si>
  <si>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</si>
  <si>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</si>
  <si>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</si>
  <si>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</si>
  <si>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</si>
  <si>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</si>
  <si>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</si>
  <si>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</si>
  <si>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</si>
  <si>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</si>
  <si>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</si>
  <si>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</si>
  <si>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</si>
  <si>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</si>
  <si>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</si>
  <si>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</si>
  <si>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</si>
  <si>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</si>
  <si>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</si>
  <si>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</si>
  <si>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</si>
  <si>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</si>
  <si>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</si>
  <si>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</si>
  <si>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</si>
  <si>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</si>
  <si>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</si>
  <si>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</si>
  <si>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</si>
  <si>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</si>
  <si>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</si>
  <si>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</si>
  <si>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</si>
  <si>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</si>
  <si>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</si>
  <si>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</si>
  <si>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E-301</t>
  </si>
  <si>
    <t>Mr.Garimella Krishna</t>
  </si>
  <si>
    <t>E-306</t>
  </si>
  <si>
    <t>Mr.Khadirun Sunkesulu</t>
  </si>
  <si>
    <t>E-307</t>
  </si>
  <si>
    <t>Mr.V.S.S Ganesh Kumar Karri</t>
  </si>
  <si>
    <t>E-403</t>
  </si>
  <si>
    <t>Mr.Nanduri Venkata Kalyan</t>
  </si>
  <si>
    <t>E-405</t>
  </si>
  <si>
    <t>Mr.Srikanth Sharma</t>
  </si>
  <si>
    <t>E-406</t>
  </si>
  <si>
    <t>Mr.Vemula Prasad Rao</t>
  </si>
  <si>
    <t>E-501</t>
  </si>
  <si>
    <t>Mr.Praveen Kumar Meesala</t>
  </si>
  <si>
    <t>E-504</t>
  </si>
  <si>
    <t>Mr.Rakesh.G.R.</t>
  </si>
  <si>
    <t>E-505</t>
  </si>
  <si>
    <t>Mr.Jaideep C</t>
  </si>
  <si>
    <t>E-607</t>
  </si>
  <si>
    <t>Mr.Krishna Prasad Ch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</si>
  <si>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</si>
  <si>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</si>
  <si>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</si>
  <si>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</si>
  <si>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</si>
  <si>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</si>
  <si>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</si>
  <si>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</si>
  <si>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</si>
  <si>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</si>
  <si>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</si>
  <si>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</si>
  <si>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</si>
  <si>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</si>
  <si>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</si>
  <si>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</si>
  <si>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</si>
  <si>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</si>
  <si>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</si>
  <si>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</si>
  <si>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</si>
  <si>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</si>
  <si>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</si>
  <si>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</si>
  <si>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</si>
  <si>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</si>
  <si>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</si>
  <si>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</si>
  <si>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</si>
  <si>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</si>
  <si>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</si>
  <si>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</si>
  <si>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</si>
  <si>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F-605</t>
  </si>
  <si>
    <t>Ms.Sneha Chidara</t>
  </si>
  <si>
    <t>F-606</t>
  </si>
  <si>
    <t>Mr.Meet Bharat Mehta</t>
  </si>
  <si>
    <t>G-103</t>
  </si>
  <si>
    <t>Mrs.Sushama Patwardhan</t>
  </si>
  <si>
    <t>G-105</t>
  </si>
  <si>
    <t>Mr.Vivek Raja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</si>
  <si>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</si>
  <si>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</si>
  <si>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</si>
  <si>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</si>
  <si>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</si>
  <si>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</si>
  <si>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</si>
  <si>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</si>
  <si>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</si>
  <si>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</si>
  <si>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</si>
  <si>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</si>
  <si>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</si>
  <si>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</si>
  <si>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</si>
  <si>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</si>
  <si>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</si>
  <si>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</si>
  <si>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</si>
  <si>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</si>
  <si>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</si>
  <si>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</si>
  <si>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</si>
  <si>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</si>
  <si>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</si>
  <si>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</si>
  <si>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</si>
  <si>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</si>
  <si>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</si>
  <si>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</si>
  <si>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</si>
  <si>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</si>
  <si>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</si>
  <si>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</si>
  <si>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</si>
  <si>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</si>
  <si>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</si>
  <si>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</si>
  <si>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</si>
  <si>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</si>
  <si>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</si>
  <si>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</si>
  <si>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</si>
  <si>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</si>
  <si>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</si>
  <si>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</si>
  <si>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H-303</t>
  </si>
  <si>
    <t>Mr.Giridhar . L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</si>
  <si>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</si>
  <si>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</si>
  <si>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</si>
  <si>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</si>
  <si>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</si>
  <si>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</si>
  <si>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H-403</t>
  </si>
  <si>
    <t>Mr.Vinod Kumar Jakkanagari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</si>
  <si>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</si>
  <si>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</si>
  <si>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</si>
  <si>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</si>
  <si>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</si>
  <si>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</si>
  <si>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</si>
  <si>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</si>
  <si>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</si>
  <si>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</si>
  <si>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</si>
  <si>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Mr.M.S Raghavendra Rao</t>
  </si>
  <si>
    <t>H-507</t>
  </si>
  <si>
    <t>Mr.M.V.N Abhishek Rao</t>
  </si>
  <si>
    <t>H-601</t>
  </si>
  <si>
    <t>Mr.Vinay Harsh Puttaboyina</t>
  </si>
  <si>
    <t>H-604</t>
  </si>
  <si>
    <t>Mr.Subrahmanyam V.V.S</t>
  </si>
  <si>
    <t>H-607</t>
  </si>
  <si>
    <t>Mr.Jnanesha A.C</t>
  </si>
  <si>
    <t>TOTAL</t>
  </si>
  <si>
    <t>Modi Properties</t>
  </si>
  <si>
    <t>Anand Mehta</t>
  </si>
  <si>
    <t>Asst.Year.2018-19</t>
  </si>
  <si>
    <t xml:space="preserve">Add </t>
  </si>
  <si>
    <t>Amount received</t>
  </si>
  <si>
    <t>Less</t>
  </si>
  <si>
    <t>loss</t>
  </si>
  <si>
    <t xml:space="preserve">Less </t>
  </si>
  <si>
    <t>Transfer from Loan</t>
  </si>
  <si>
    <t>Total loss</t>
  </si>
  <si>
    <t>Amount paid during the year</t>
  </si>
  <si>
    <t>Less loss</t>
  </si>
  <si>
    <t>loss during the year</t>
  </si>
  <si>
    <t>Asst.Year.2019-20</t>
  </si>
  <si>
    <t>opening Balance</t>
  </si>
  <si>
    <t>Loss during the Year</t>
  </si>
  <si>
    <t>Amount Paid During the year</t>
  </si>
  <si>
    <t>Total Loss</t>
  </si>
  <si>
    <t>Asst.Year.2020-21</t>
  </si>
  <si>
    <t>opening loss</t>
  </si>
  <si>
    <t>Add</t>
  </si>
  <si>
    <t>Amout invested</t>
  </si>
  <si>
    <t>Withdrew</t>
  </si>
  <si>
    <t>Amount withdrew</t>
  </si>
  <si>
    <t>Loss</t>
  </si>
  <si>
    <t>Share loss</t>
  </si>
  <si>
    <t xml:space="preserve">Total </t>
  </si>
  <si>
    <t>Asst.Year.2021-22</t>
  </si>
  <si>
    <t>Amounts withdrawn  during the year</t>
  </si>
  <si>
    <t>withdrew</t>
  </si>
  <si>
    <t>share loss</t>
  </si>
  <si>
    <t>Asst.Year.2022-23</t>
  </si>
  <si>
    <t>Share profit</t>
  </si>
  <si>
    <t>Share Profit</t>
  </si>
  <si>
    <t>Asst.Year.2023-24</t>
  </si>
  <si>
    <t>withdrew in moth April</t>
  </si>
  <si>
    <t>withdrew in moth may</t>
  </si>
  <si>
    <t>Amount received in may</t>
  </si>
  <si>
    <t>withdrew in moth june</t>
  </si>
  <si>
    <t>withdrew in moth May</t>
  </si>
  <si>
    <t>withdrew in month July</t>
  </si>
  <si>
    <t>withdrew in month Aug</t>
  </si>
  <si>
    <t>withdrew in month Sep</t>
  </si>
  <si>
    <t>withdrew in month oct</t>
  </si>
  <si>
    <t>withdrew in month Nov</t>
  </si>
  <si>
    <t>Amount received Dec</t>
  </si>
  <si>
    <t>withdrew in month Dec</t>
  </si>
  <si>
    <t>withdrew in month Jan'23</t>
  </si>
  <si>
    <t>Amount received feb'23</t>
  </si>
  <si>
    <t>withdrew in month Feb'23</t>
  </si>
  <si>
    <t>withdrew in month Mar'23</t>
  </si>
  <si>
    <t>Amount received Mar'23</t>
  </si>
  <si>
    <t>Asst.Year.2024-25</t>
  </si>
  <si>
    <t>Amount received Sep'23</t>
  </si>
  <si>
    <t>Income tax F.Y.2022-23</t>
  </si>
  <si>
    <t>withdrew in month Oct</t>
  </si>
  <si>
    <t>withdrew in month Jan</t>
  </si>
  <si>
    <t>withdrew in month Feb</t>
  </si>
  <si>
    <t>withdrew in month Mar</t>
  </si>
  <si>
    <t xml:space="preserve"> </t>
  </si>
  <si>
    <t>Loan Details</t>
  </si>
  <si>
    <t xml:space="preserve">Statement for period upto </t>
  </si>
  <si>
    <t>Secured loans</t>
  </si>
  <si>
    <t>Loan type</t>
  </si>
  <si>
    <t>Name of lender</t>
  </si>
  <si>
    <t>Total loan amount in Rs.</t>
  </si>
  <si>
    <t>Principal repaid upto FY 19-20 in Rs.</t>
  </si>
  <si>
    <t>Principal repaid upto FY 20-21   in Rs.</t>
  </si>
  <si>
    <t>Principal repaid upto FY 21-22      in Rs.</t>
  </si>
  <si>
    <t>Principal repaid upto FY 22-23      in Rs.</t>
  </si>
  <si>
    <t>Principal repaid upto FY 23-24      in Rs.</t>
  </si>
  <si>
    <t>Balance loan upto end of this qtr. in Rs.</t>
  </si>
  <si>
    <t>Loan start date</t>
  </si>
  <si>
    <t>Loan end date</t>
  </si>
  <si>
    <t>EMI or principal repayment per month in Rs.</t>
  </si>
  <si>
    <t>Secured</t>
  </si>
  <si>
    <t>Tata Capital Financial Services Ltd</t>
  </si>
  <si>
    <t>NA</t>
  </si>
  <si>
    <t>DSR</t>
  </si>
  <si>
    <t>Subtotal - Secured loans</t>
  </si>
  <si>
    <t>Un-secured</t>
  </si>
  <si>
    <t>Rahul Mehta</t>
  </si>
  <si>
    <t>Paramount Builders</t>
  </si>
  <si>
    <t>Mahidra &amp; Mahindra Finance-THAR</t>
  </si>
  <si>
    <t>Mahidra &amp; Mahindra Finance-WAGONR</t>
  </si>
  <si>
    <t>Subtotal - Un-secured loans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</si>
</sst>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 * #,##0_ ;_ * \-#,##0_ ;_ * &quot;-&quot;??_ ;_ @_ "/>
    <numFmt numFmtId="181" formatCode="[$-409]d/mmm/yy;@"/>
    <numFmt numFmtId="182" formatCode="dd/mm/yyyy"/>
    <numFmt numFmtId="183" formatCode="_(* #,##0.00_);_(* \(#,##0.00\);_(* &quot;-&quot;??_);_(@_)"/>
    <numFmt numFmtId="184" formatCode="dd/mm/yyyy;@"/>
  </numFmts>
  <fonts count="35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b/>
      <u/>
      <sz val="11"/>
      <color theme="1"/>
      <name val="Calibri"/>
      <charset val="134"/>
      <scheme val="minor"/>
    </font>
    <font>
      <b/>
      <u/>
      <sz val="10"/>
      <name val="Arial"/>
      <charset val="134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u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</cellStyleXfs>
  <cellXfs count="116">
    <xf numFmtId="0" fontId="0" fillId="0" borderId="0" xfId="0">
      <alignment vertical="center"/>
    </xf>
    <xf numFmtId="0" fontId="1" fillId="0" borderId="0" xfId="52" applyFont="1" applyAlignment="1">
      <alignment horizontal="center" wrapText="1"/>
    </xf>
    <xf numFmtId="0" fontId="1" fillId="0" borderId="0" xfId="52" applyFont="1"/>
    <xf numFmtId="176" fontId="1" fillId="0" borderId="0" xfId="49" applyFont="1"/>
    <xf numFmtId="180" fontId="1" fillId="0" borderId="0" xfId="49" applyNumberFormat="1" applyFont="1"/>
    <xf numFmtId="0" fontId="1" fillId="0" borderId="0" xfId="52" applyFont="1" applyAlignment="1">
      <alignment horizontal="left"/>
    </xf>
    <xf numFmtId="181" fontId="1" fillId="0" borderId="0" xfId="52" applyNumberFormat="1" applyFont="1"/>
    <xf numFmtId="0" fontId="1" fillId="0" borderId="1" xfId="52" applyFont="1" applyBorder="1" applyAlignment="1">
      <alignment horizontal="center" wrapText="1"/>
    </xf>
    <xf numFmtId="180" fontId="1" fillId="0" borderId="1" xfId="49" applyNumberFormat="1" applyFont="1" applyBorder="1" applyAlignment="1">
      <alignment horizontal="center" wrapText="1"/>
    </xf>
    <xf numFmtId="0" fontId="2" fillId="0" borderId="0" xfId="52" applyFont="1"/>
    <xf numFmtId="0" fontId="1" fillId="0" borderId="1" xfId="52" applyFont="1" applyBorder="1" applyAlignment="1">
      <alignment horizontal="left"/>
    </xf>
    <xf numFmtId="0" fontId="1" fillId="0" borderId="1" xfId="52" applyFont="1" applyBorder="1"/>
    <xf numFmtId="180" fontId="1" fillId="0" borderId="1" xfId="49" applyNumberFormat="1" applyFont="1" applyBorder="1"/>
    <xf numFmtId="0" fontId="1" fillId="0" borderId="2" xfId="52" applyFont="1" applyBorder="1" applyAlignment="1">
      <alignment horizontal="left"/>
    </xf>
    <xf numFmtId="0" fontId="1" fillId="0" borderId="2" xfId="52" applyFont="1" applyBorder="1"/>
    <xf numFmtId="180" fontId="1" fillId="0" borderId="2" xfId="49" applyNumberFormat="1" applyFont="1" applyBorder="1"/>
    <xf numFmtId="176" fontId="1" fillId="0" borderId="0" xfId="49" applyFont="1" applyBorder="1"/>
    <xf numFmtId="180" fontId="1" fillId="0" borderId="0" xfId="49" applyNumberFormat="1" applyFont="1" applyBorder="1"/>
    <xf numFmtId="180" fontId="1" fillId="0" borderId="0" xfId="49" applyNumberFormat="1" applyFont="1" applyAlignment="1">
      <alignment horizontal="center" wrapText="1"/>
    </xf>
    <xf numFmtId="182" fontId="1" fillId="0" borderId="0" xfId="52" applyNumberFormat="1" applyFont="1" applyAlignment="1">
      <alignment horizontal="center"/>
    </xf>
    <xf numFmtId="182" fontId="1" fillId="0" borderId="0" xfId="52" applyNumberFormat="1" applyFont="1"/>
    <xf numFmtId="181" fontId="1" fillId="0" borderId="1" xfId="52" applyNumberFormat="1" applyFont="1" applyBorder="1"/>
    <xf numFmtId="181" fontId="1" fillId="0" borderId="2" xfId="52" applyNumberFormat="1" applyFont="1" applyBorder="1"/>
    <xf numFmtId="0" fontId="3" fillId="0" borderId="0" xfId="0" applyFont="1">
      <alignment vertical="center"/>
    </xf>
    <xf numFmtId="183" fontId="4" fillId="0" borderId="0" xfId="1" applyNumberFormat="1" applyFont="1" applyAlignment="1">
      <alignment horizontal="center"/>
    </xf>
    <xf numFmtId="183" fontId="4" fillId="0" borderId="0" xfId="1" applyNumberFormat="1" applyFont="1" applyAlignment="1">
      <alignment horizontal="left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4" fontId="0" fillId="0" borderId="3" xfId="0" applyNumberFormat="1" applyBorder="1">
      <alignment vertical="center"/>
    </xf>
    <xf numFmtId="0" fontId="5" fillId="0" borderId="3" xfId="0" applyFont="1" applyBorder="1" applyAlignment="1"/>
    <xf numFmtId="4" fontId="6" fillId="0" borderId="3" xfId="0" applyNumberFormat="1" applyFont="1" applyBorder="1">
      <alignment vertical="center"/>
    </xf>
    <xf numFmtId="4" fontId="0" fillId="0" borderId="0" xfId="0" applyNumberFormat="1">
      <alignment vertical="center"/>
    </xf>
    <xf numFmtId="0" fontId="6" fillId="0" borderId="3" xfId="0" applyFont="1" applyBorder="1">
      <alignment vertical="center"/>
    </xf>
    <xf numFmtId="3" fontId="6" fillId="0" borderId="3" xfId="0" applyNumberFormat="1" applyFont="1" applyBorder="1">
      <alignment vertical="center"/>
    </xf>
    <xf numFmtId="4" fontId="4" fillId="0" borderId="0" xfId="1" applyNumberFormat="1" applyFont="1" applyAlignment="1">
      <alignment horizontal="center"/>
    </xf>
    <xf numFmtId="3" fontId="7" fillId="0" borderId="3" xfId="0" applyNumberFormat="1" applyFont="1" applyBorder="1">
      <alignment vertical="center"/>
    </xf>
    <xf numFmtId="4" fontId="4" fillId="0" borderId="0" xfId="1" applyNumberFormat="1" applyFont="1" applyAlignment="1">
      <alignment horizontal="left"/>
    </xf>
    <xf numFmtId="4" fontId="1" fillId="0" borderId="3" xfId="1" applyNumberFormat="1" applyFont="1" applyBorder="1" applyAlignment="1"/>
    <xf numFmtId="4" fontId="8" fillId="0" borderId="3" xfId="0" applyNumberFormat="1" applyFont="1" applyBorder="1">
      <alignment vertical="center"/>
    </xf>
    <xf numFmtId="0" fontId="1" fillId="0" borderId="3" xfId="0" applyFont="1" applyBorder="1" applyAlignment="1"/>
    <xf numFmtId="4" fontId="7" fillId="0" borderId="3" xfId="0" applyNumberFormat="1" applyFont="1" applyBorder="1">
      <alignment vertical="center"/>
    </xf>
    <xf numFmtId="183" fontId="4" fillId="0" borderId="0" xfId="1" applyNumberFormat="1" applyFont="1" applyAlignment="1"/>
    <xf numFmtId="176" fontId="0" fillId="0" borderId="3" xfId="1" applyFont="1" applyBorder="1">
      <alignment vertical="center"/>
    </xf>
    <xf numFmtId="176" fontId="0" fillId="0" borderId="0" xfId="0" applyNumberFormat="1">
      <alignment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176" fontId="9" fillId="0" borderId="0" xfId="1" applyFont="1" applyBorder="1" applyAlignment="1"/>
    <xf numFmtId="181" fontId="9" fillId="0" borderId="0" xfId="1" applyNumberFormat="1" applyFont="1" applyBorder="1" applyAlignment="1"/>
    <xf numFmtId="176" fontId="9" fillId="0" borderId="0" xfId="1" applyFont="1" applyFill="1" applyBorder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81" fontId="9" fillId="0" borderId="0" xfId="1" applyNumberFormat="1" applyFont="1" applyFill="1" applyBorder="1" applyAlignment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181" fontId="9" fillId="0" borderId="1" xfId="0" applyNumberFormat="1" applyFont="1" applyBorder="1" applyAlignment="1">
      <alignment horizontal="center" wrapText="1"/>
    </xf>
    <xf numFmtId="180" fontId="9" fillId="0" borderId="0" xfId="1" applyNumberFormat="1" applyFont="1" applyFill="1" applyBorder="1" applyAlignment="1"/>
    <xf numFmtId="181" fontId="9" fillId="0" borderId="0" xfId="0" applyNumberFormat="1" applyFont="1" applyAlignment="1">
      <alignment horizontal="left"/>
    </xf>
    <xf numFmtId="181" fontId="9" fillId="0" borderId="0" xfId="0" applyNumberFormat="1" applyFont="1" applyAlignment="1">
      <alignment horizontal="center"/>
    </xf>
    <xf numFmtId="180" fontId="10" fillId="0" borderId="0" xfId="1" applyNumberFormat="1" applyFont="1" applyFill="1" applyBorder="1" applyAlignment="1"/>
    <xf numFmtId="0" fontId="9" fillId="0" borderId="1" xfId="0" applyFont="1" applyBorder="1" applyAlignment="1"/>
    <xf numFmtId="176" fontId="9" fillId="0" borderId="1" xfId="1" applyFont="1" applyFill="1" applyBorder="1" applyAlignment="1"/>
    <xf numFmtId="180" fontId="9" fillId="0" borderId="1" xfId="0" applyNumberFormat="1" applyFont="1" applyBorder="1" applyAlignment="1">
      <alignment horizontal="center"/>
    </xf>
    <xf numFmtId="180" fontId="9" fillId="0" borderId="1" xfId="1" applyNumberFormat="1" applyFont="1" applyFill="1" applyBorder="1" applyAlignment="1"/>
    <xf numFmtId="181" fontId="9" fillId="0" borderId="1" xfId="1" applyNumberFormat="1" applyFont="1" applyFill="1" applyBorder="1" applyAlignment="1"/>
    <xf numFmtId="180" fontId="9" fillId="0" borderId="1" xfId="0" applyNumberFormat="1" applyFont="1" applyBorder="1" applyAlignment="1"/>
    <xf numFmtId="180" fontId="9" fillId="0" borderId="0" xfId="1" applyNumberFormat="1" applyFont="1" applyAlignment="1"/>
    <xf numFmtId="180" fontId="1" fillId="0" borderId="0" xfId="1" applyNumberFormat="1" applyFont="1" applyFill="1" applyBorder="1" applyAlignment="1"/>
    <xf numFmtId="180" fontId="9" fillId="0" borderId="0" xfId="1" applyNumberFormat="1" applyFont="1" applyBorder="1" applyAlignment="1"/>
    <xf numFmtId="180" fontId="9" fillId="0" borderId="0" xfId="0" applyNumberFormat="1" applyFont="1" applyAlignment="1"/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4" xfId="0" applyFont="1" applyBorder="1" applyAlignment="1">
      <alignment vertical="center" wrapText="1"/>
    </xf>
    <xf numFmtId="3" fontId="11" fillId="0" borderId="4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3" fontId="14" fillId="0" borderId="6" xfId="0" applyNumberFormat="1" applyFont="1" applyBorder="1" applyAlignment="1">
      <alignment horizontal="right" vertical="center" wrapText="1"/>
    </xf>
    <xf numFmtId="3" fontId="0" fillId="0" borderId="0" xfId="0" applyNumberFormat="1">
      <alignment vertical="center"/>
    </xf>
    <xf numFmtId="176" fontId="9" fillId="0" borderId="0" xfId="1" applyFont="1" applyAlignment="1"/>
    <xf numFmtId="176" fontId="9" fillId="0" borderId="0" xfId="1" applyFont="1" applyAlignment="1">
      <alignment horizontal="left"/>
    </xf>
    <xf numFmtId="0" fontId="9" fillId="0" borderId="1" xfId="0" applyFont="1" applyBorder="1" applyAlignment="1">
      <alignment horizontal="center"/>
    </xf>
    <xf numFmtId="180" fontId="9" fillId="0" borderId="1" xfId="1" applyNumberFormat="1" applyFont="1" applyBorder="1" applyAlignment="1">
      <alignment horizontal="center" wrapText="1"/>
    </xf>
    <xf numFmtId="180" fontId="9" fillId="0" borderId="0" xfId="1" applyNumberFormat="1" applyFont="1" applyBorder="1" applyAlignment="1">
      <alignment wrapText="1"/>
    </xf>
    <xf numFmtId="0" fontId="9" fillId="0" borderId="1" xfId="0" applyFont="1" applyBorder="1" applyAlignment="1">
      <alignment horizontal="left"/>
    </xf>
    <xf numFmtId="176" fontId="9" fillId="0" borderId="1" xfId="1" applyFont="1" applyBorder="1" applyAlignment="1"/>
    <xf numFmtId="180" fontId="9" fillId="0" borderId="1" xfId="1" applyNumberFormat="1" applyFont="1" applyBorder="1" applyAlignment="1"/>
    <xf numFmtId="184" fontId="9" fillId="0" borderId="0" xfId="0" applyNumberFormat="1" applyFont="1" applyAlignment="1">
      <alignment horizontal="left"/>
    </xf>
    <xf numFmtId="176" fontId="9" fillId="0" borderId="1" xfId="1" applyFont="1" applyBorder="1" applyAlignment="1">
      <alignment horizontal="center"/>
    </xf>
    <xf numFmtId="176" fontId="9" fillId="0" borderId="0" xfId="1" applyFont="1" applyBorder="1" applyAlignment="1">
      <alignment horizontal="left"/>
    </xf>
    <xf numFmtId="180" fontId="9" fillId="0" borderId="0" xfId="1" applyNumberFormat="1" applyFont="1" applyBorder="1" applyAlignment="1">
      <alignment horizontal="left"/>
    </xf>
    <xf numFmtId="180" fontId="9" fillId="0" borderId="0" xfId="1" applyNumberFormat="1" applyFont="1" applyFill="1" applyBorder="1" applyAlignment="1">
      <alignment horizontal="left"/>
    </xf>
    <xf numFmtId="181" fontId="1" fillId="0" borderId="0" xfId="52" applyNumberFormat="1" applyFont="1" quotePrefix="1"/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Comma 3" xfId="50"/>
    <cellStyle name="Normal 13" xfId="51"/>
    <cellStyle name="Normal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eng\Downloads\GMR%20financial%20status%20statement%2031-03-2023%20ver.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6">
          <cell r="H6">
            <v>0</v>
          </cell>
          <cell r="I6">
            <v>0</v>
          </cell>
        </row>
        <row r="7">
          <cell r="E7">
            <v>4524518</v>
          </cell>
          <cell r="F7">
            <v>811817</v>
          </cell>
        </row>
        <row r="7">
          <cell r="H7">
            <v>740000</v>
          </cell>
          <cell r="I7">
            <v>6216483</v>
          </cell>
        </row>
        <row r="8">
          <cell r="D8">
            <v>4407955</v>
          </cell>
          <cell r="E8">
            <v>1160191</v>
          </cell>
          <cell r="F8">
            <v>1442732</v>
          </cell>
          <cell r="G8">
            <v>40884223.45</v>
          </cell>
        </row>
        <row r="9">
          <cell r="E9">
            <v>138030</v>
          </cell>
          <cell r="F9">
            <v>1088163.17</v>
          </cell>
        </row>
        <row r="9">
          <cell r="H9">
            <v>9733219.33</v>
          </cell>
        </row>
        <row r="10">
          <cell r="E10">
            <v>590</v>
          </cell>
          <cell r="F10">
            <v>3779.59</v>
          </cell>
        </row>
        <row r="10">
          <cell r="H10">
            <v>5949.56</v>
          </cell>
        </row>
      </sheetData>
      <sheetData sheetId="2"/>
      <sheetData sheetId="3"/>
      <sheetData sheetId="4"/>
      <sheetData sheetId="5">
        <row r="7">
          <cell r="D7">
            <v>45000000</v>
          </cell>
          <cell r="E7">
            <v>8223459</v>
          </cell>
          <cell r="F7">
            <v>14182165.95</v>
          </cell>
        </row>
        <row r="10">
          <cell r="G10">
            <v>60766530</v>
          </cell>
        </row>
      </sheetData>
      <sheetData sheetId="6"/>
      <sheetData sheetId="7"/>
      <sheetData sheetId="8"/>
      <sheetData sheetId="9"/>
      <sheetData sheetId="10">
        <row r="65">
          <cell r="C65">
            <v>3000000</v>
          </cell>
          <cell r="D65">
            <v>1925000</v>
          </cell>
          <cell r="E65">
            <v>10089400</v>
          </cell>
          <cell r="F65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I21" sqref="I21"/>
    </sheetView>
  </sheetViews>
  <sheetFormatPr defaultColWidth="9" defaultRowHeight="12.75"/>
  <cols>
    <col min="1" max="1" width="6.33333333333333" style="45" customWidth="1"/>
    <col min="2" max="2" width="33.6666666666667" style="50" customWidth="1"/>
    <col min="3" max="4" width="11.6666666666667" style="103" customWidth="1"/>
    <col min="5" max="5" width="12.8857142857143" style="103" customWidth="1"/>
    <col min="6" max="6" width="13.4380952380952" style="103" customWidth="1"/>
    <col min="7" max="7" width="13" style="103" customWidth="1"/>
    <col min="8" max="8" width="14.4380952380952" style="103" customWidth="1"/>
    <col min="9" max="9" width="14.1047619047619" style="103" customWidth="1"/>
    <col min="10" max="10" width="14.6666666666667" style="103" customWidth="1"/>
    <col min="11" max="11" width="10.552380952381" style="45" customWidth="1"/>
    <col min="12" max="13" width="9.1047619047619" style="45"/>
    <col min="14" max="14" width="11.4380952380952" style="45" customWidth="1"/>
    <col min="15" max="257" width="9.1047619047619" style="45"/>
    <col min="258" max="258" width="6.33333333333333" style="45" customWidth="1"/>
    <col min="259" max="259" width="35.8857142857143" style="45" customWidth="1"/>
    <col min="260" max="260" width="10.8857142857143" style="45" customWidth="1"/>
    <col min="261" max="261" width="9.43809523809524" style="45" customWidth="1"/>
    <col min="262" max="262" width="13.552380952381" style="45" customWidth="1"/>
    <col min="263" max="263" width="12.8857142857143" style="45" customWidth="1"/>
    <col min="264" max="264" width="12.552380952381" style="45" customWidth="1"/>
    <col min="265" max="265" width="12.3333333333333" style="45" customWidth="1"/>
    <col min="266" max="266" width="15.6666666666667" style="45" customWidth="1"/>
    <col min="267" max="267" width="9" style="45" hidden="1" customWidth="1"/>
    <col min="268" max="513" width="9.1047619047619" style="45"/>
    <col min="514" max="514" width="6.33333333333333" style="45" customWidth="1"/>
    <col min="515" max="515" width="35.8857142857143" style="45" customWidth="1"/>
    <col min="516" max="516" width="10.8857142857143" style="45" customWidth="1"/>
    <col min="517" max="517" width="9.43809523809524" style="45" customWidth="1"/>
    <col min="518" max="518" width="13.552380952381" style="45" customWidth="1"/>
    <col min="519" max="519" width="12.8857142857143" style="45" customWidth="1"/>
    <col min="520" max="520" width="12.552380952381" style="45" customWidth="1"/>
    <col min="521" max="521" width="12.3333333333333" style="45" customWidth="1"/>
    <col min="522" max="522" width="15.6666666666667" style="45" customWidth="1"/>
    <col min="523" max="523" width="9" style="45" hidden="1" customWidth="1"/>
    <col min="524" max="769" width="9.1047619047619" style="45"/>
    <col min="770" max="770" width="6.33333333333333" style="45" customWidth="1"/>
    <col min="771" max="771" width="35.8857142857143" style="45" customWidth="1"/>
    <col min="772" max="772" width="10.8857142857143" style="45" customWidth="1"/>
    <col min="773" max="773" width="9.43809523809524" style="45" customWidth="1"/>
    <col min="774" max="774" width="13.552380952381" style="45" customWidth="1"/>
    <col min="775" max="775" width="12.8857142857143" style="45" customWidth="1"/>
    <col min="776" max="776" width="12.552380952381" style="45" customWidth="1"/>
    <col min="777" max="777" width="12.3333333333333" style="45" customWidth="1"/>
    <col min="778" max="778" width="15.6666666666667" style="45" customWidth="1"/>
    <col min="779" max="779" width="9" style="45" hidden="1" customWidth="1"/>
    <col min="780" max="1025" width="9.1047619047619" style="45"/>
    <col min="1026" max="1026" width="6.33333333333333" style="45" customWidth="1"/>
    <col min="1027" max="1027" width="35.8857142857143" style="45" customWidth="1"/>
    <col min="1028" max="1028" width="10.8857142857143" style="45" customWidth="1"/>
    <col min="1029" max="1029" width="9.43809523809524" style="45" customWidth="1"/>
    <col min="1030" max="1030" width="13.552380952381" style="45" customWidth="1"/>
    <col min="1031" max="1031" width="12.8857142857143" style="45" customWidth="1"/>
    <col min="1032" max="1032" width="12.552380952381" style="45" customWidth="1"/>
    <col min="1033" max="1033" width="12.3333333333333" style="45" customWidth="1"/>
    <col min="1034" max="1034" width="15.6666666666667" style="45" customWidth="1"/>
    <col min="1035" max="1035" width="9" style="45" hidden="1" customWidth="1"/>
    <col min="1036" max="1281" width="9.1047619047619" style="45"/>
    <col min="1282" max="1282" width="6.33333333333333" style="45" customWidth="1"/>
    <col min="1283" max="1283" width="35.8857142857143" style="45" customWidth="1"/>
    <col min="1284" max="1284" width="10.8857142857143" style="45" customWidth="1"/>
    <col min="1285" max="1285" width="9.43809523809524" style="45" customWidth="1"/>
    <col min="1286" max="1286" width="13.552380952381" style="45" customWidth="1"/>
    <col min="1287" max="1287" width="12.8857142857143" style="45" customWidth="1"/>
    <col min="1288" max="1288" width="12.552380952381" style="45" customWidth="1"/>
    <col min="1289" max="1289" width="12.3333333333333" style="45" customWidth="1"/>
    <col min="1290" max="1290" width="15.6666666666667" style="45" customWidth="1"/>
    <col min="1291" max="1291" width="9" style="45" hidden="1" customWidth="1"/>
    <col min="1292" max="1537" width="9.1047619047619" style="45"/>
    <col min="1538" max="1538" width="6.33333333333333" style="45" customWidth="1"/>
    <col min="1539" max="1539" width="35.8857142857143" style="45" customWidth="1"/>
    <col min="1540" max="1540" width="10.8857142857143" style="45" customWidth="1"/>
    <col min="1541" max="1541" width="9.43809523809524" style="45" customWidth="1"/>
    <col min="1542" max="1542" width="13.552380952381" style="45" customWidth="1"/>
    <col min="1543" max="1543" width="12.8857142857143" style="45" customWidth="1"/>
    <col min="1544" max="1544" width="12.552380952381" style="45" customWidth="1"/>
    <col min="1545" max="1545" width="12.3333333333333" style="45" customWidth="1"/>
    <col min="1546" max="1546" width="15.6666666666667" style="45" customWidth="1"/>
    <col min="1547" max="1547" width="9" style="45" hidden="1" customWidth="1"/>
    <col min="1548" max="1793" width="9.1047619047619" style="45"/>
    <col min="1794" max="1794" width="6.33333333333333" style="45" customWidth="1"/>
    <col min="1795" max="1795" width="35.8857142857143" style="45" customWidth="1"/>
    <col min="1796" max="1796" width="10.8857142857143" style="45" customWidth="1"/>
    <col min="1797" max="1797" width="9.43809523809524" style="45" customWidth="1"/>
    <col min="1798" max="1798" width="13.552380952381" style="45" customWidth="1"/>
    <col min="1799" max="1799" width="12.8857142857143" style="45" customWidth="1"/>
    <col min="1800" max="1800" width="12.552380952381" style="45" customWidth="1"/>
    <col min="1801" max="1801" width="12.3333333333333" style="45" customWidth="1"/>
    <col min="1802" max="1802" width="15.6666666666667" style="45" customWidth="1"/>
    <col min="1803" max="1803" width="9" style="45" hidden="1" customWidth="1"/>
    <col min="1804" max="2049" width="9.1047619047619" style="45"/>
    <col min="2050" max="2050" width="6.33333333333333" style="45" customWidth="1"/>
    <col min="2051" max="2051" width="35.8857142857143" style="45" customWidth="1"/>
    <col min="2052" max="2052" width="10.8857142857143" style="45" customWidth="1"/>
    <col min="2053" max="2053" width="9.43809523809524" style="45" customWidth="1"/>
    <col min="2054" max="2054" width="13.552380952381" style="45" customWidth="1"/>
    <col min="2055" max="2055" width="12.8857142857143" style="45" customWidth="1"/>
    <col min="2056" max="2056" width="12.552380952381" style="45" customWidth="1"/>
    <col min="2057" max="2057" width="12.3333333333333" style="45" customWidth="1"/>
    <col min="2058" max="2058" width="15.6666666666667" style="45" customWidth="1"/>
    <col min="2059" max="2059" width="9" style="45" hidden="1" customWidth="1"/>
    <col min="2060" max="2305" width="9.1047619047619" style="45"/>
    <col min="2306" max="2306" width="6.33333333333333" style="45" customWidth="1"/>
    <col min="2307" max="2307" width="35.8857142857143" style="45" customWidth="1"/>
    <col min="2308" max="2308" width="10.8857142857143" style="45" customWidth="1"/>
    <col min="2309" max="2309" width="9.43809523809524" style="45" customWidth="1"/>
    <col min="2310" max="2310" width="13.552380952381" style="45" customWidth="1"/>
    <col min="2311" max="2311" width="12.8857142857143" style="45" customWidth="1"/>
    <col min="2312" max="2312" width="12.552380952381" style="45" customWidth="1"/>
    <col min="2313" max="2313" width="12.3333333333333" style="45" customWidth="1"/>
    <col min="2314" max="2314" width="15.6666666666667" style="45" customWidth="1"/>
    <col min="2315" max="2315" width="9" style="45" hidden="1" customWidth="1"/>
    <col min="2316" max="2561" width="9.1047619047619" style="45"/>
    <col min="2562" max="2562" width="6.33333333333333" style="45" customWidth="1"/>
    <col min="2563" max="2563" width="35.8857142857143" style="45" customWidth="1"/>
    <col min="2564" max="2564" width="10.8857142857143" style="45" customWidth="1"/>
    <col min="2565" max="2565" width="9.43809523809524" style="45" customWidth="1"/>
    <col min="2566" max="2566" width="13.552380952381" style="45" customWidth="1"/>
    <col min="2567" max="2567" width="12.8857142857143" style="45" customWidth="1"/>
    <col min="2568" max="2568" width="12.552380952381" style="45" customWidth="1"/>
    <col min="2569" max="2569" width="12.3333333333333" style="45" customWidth="1"/>
    <col min="2570" max="2570" width="15.6666666666667" style="45" customWidth="1"/>
    <col min="2571" max="2571" width="9" style="45" hidden="1" customWidth="1"/>
    <col min="2572" max="2817" width="9.1047619047619" style="45"/>
    <col min="2818" max="2818" width="6.33333333333333" style="45" customWidth="1"/>
    <col min="2819" max="2819" width="35.8857142857143" style="45" customWidth="1"/>
    <col min="2820" max="2820" width="10.8857142857143" style="45" customWidth="1"/>
    <col min="2821" max="2821" width="9.43809523809524" style="45" customWidth="1"/>
    <col min="2822" max="2822" width="13.552380952381" style="45" customWidth="1"/>
    <col min="2823" max="2823" width="12.8857142857143" style="45" customWidth="1"/>
    <col min="2824" max="2824" width="12.552380952381" style="45" customWidth="1"/>
    <col min="2825" max="2825" width="12.3333333333333" style="45" customWidth="1"/>
    <col min="2826" max="2826" width="15.6666666666667" style="45" customWidth="1"/>
    <col min="2827" max="2827" width="9" style="45" hidden="1" customWidth="1"/>
    <col min="2828" max="3073" width="9.1047619047619" style="45"/>
    <col min="3074" max="3074" width="6.33333333333333" style="45" customWidth="1"/>
    <col min="3075" max="3075" width="35.8857142857143" style="45" customWidth="1"/>
    <col min="3076" max="3076" width="10.8857142857143" style="45" customWidth="1"/>
    <col min="3077" max="3077" width="9.43809523809524" style="45" customWidth="1"/>
    <col min="3078" max="3078" width="13.552380952381" style="45" customWidth="1"/>
    <col min="3079" max="3079" width="12.8857142857143" style="45" customWidth="1"/>
    <col min="3080" max="3080" width="12.552380952381" style="45" customWidth="1"/>
    <col min="3081" max="3081" width="12.3333333333333" style="45" customWidth="1"/>
    <col min="3082" max="3082" width="15.6666666666667" style="45" customWidth="1"/>
    <col min="3083" max="3083" width="9" style="45" hidden="1" customWidth="1"/>
    <col min="3084" max="3329" width="9.1047619047619" style="45"/>
    <col min="3330" max="3330" width="6.33333333333333" style="45" customWidth="1"/>
    <col min="3331" max="3331" width="35.8857142857143" style="45" customWidth="1"/>
    <col min="3332" max="3332" width="10.8857142857143" style="45" customWidth="1"/>
    <col min="3333" max="3333" width="9.43809523809524" style="45" customWidth="1"/>
    <col min="3334" max="3334" width="13.552380952381" style="45" customWidth="1"/>
    <col min="3335" max="3335" width="12.8857142857143" style="45" customWidth="1"/>
    <col min="3336" max="3336" width="12.552380952381" style="45" customWidth="1"/>
    <col min="3337" max="3337" width="12.3333333333333" style="45" customWidth="1"/>
    <col min="3338" max="3338" width="15.6666666666667" style="45" customWidth="1"/>
    <col min="3339" max="3339" width="9" style="45" hidden="1" customWidth="1"/>
    <col min="3340" max="3585" width="9.1047619047619" style="45"/>
    <col min="3586" max="3586" width="6.33333333333333" style="45" customWidth="1"/>
    <col min="3587" max="3587" width="35.8857142857143" style="45" customWidth="1"/>
    <col min="3588" max="3588" width="10.8857142857143" style="45" customWidth="1"/>
    <col min="3589" max="3589" width="9.43809523809524" style="45" customWidth="1"/>
    <col min="3590" max="3590" width="13.552380952381" style="45" customWidth="1"/>
    <col min="3591" max="3591" width="12.8857142857143" style="45" customWidth="1"/>
    <col min="3592" max="3592" width="12.552380952381" style="45" customWidth="1"/>
    <col min="3593" max="3593" width="12.3333333333333" style="45" customWidth="1"/>
    <col min="3594" max="3594" width="15.6666666666667" style="45" customWidth="1"/>
    <col min="3595" max="3595" width="9" style="45" hidden="1" customWidth="1"/>
    <col min="3596" max="3841" width="9.1047619047619" style="45"/>
    <col min="3842" max="3842" width="6.33333333333333" style="45" customWidth="1"/>
    <col min="3843" max="3843" width="35.8857142857143" style="45" customWidth="1"/>
    <col min="3844" max="3844" width="10.8857142857143" style="45" customWidth="1"/>
    <col min="3845" max="3845" width="9.43809523809524" style="45" customWidth="1"/>
    <col min="3846" max="3846" width="13.552380952381" style="45" customWidth="1"/>
    <col min="3847" max="3847" width="12.8857142857143" style="45" customWidth="1"/>
    <col min="3848" max="3848" width="12.552380952381" style="45" customWidth="1"/>
    <col min="3849" max="3849" width="12.3333333333333" style="45" customWidth="1"/>
    <col min="3850" max="3850" width="15.6666666666667" style="45" customWidth="1"/>
    <col min="3851" max="3851" width="9" style="45" hidden="1" customWidth="1"/>
    <col min="3852" max="4097" width="9.1047619047619" style="45"/>
    <col min="4098" max="4098" width="6.33333333333333" style="45" customWidth="1"/>
    <col min="4099" max="4099" width="35.8857142857143" style="45" customWidth="1"/>
    <col min="4100" max="4100" width="10.8857142857143" style="45" customWidth="1"/>
    <col min="4101" max="4101" width="9.43809523809524" style="45" customWidth="1"/>
    <col min="4102" max="4102" width="13.552380952381" style="45" customWidth="1"/>
    <col min="4103" max="4103" width="12.8857142857143" style="45" customWidth="1"/>
    <col min="4104" max="4104" width="12.552380952381" style="45" customWidth="1"/>
    <col min="4105" max="4105" width="12.3333333333333" style="45" customWidth="1"/>
    <col min="4106" max="4106" width="15.6666666666667" style="45" customWidth="1"/>
    <col min="4107" max="4107" width="9" style="45" hidden="1" customWidth="1"/>
    <col min="4108" max="4353" width="9.1047619047619" style="45"/>
    <col min="4354" max="4354" width="6.33333333333333" style="45" customWidth="1"/>
    <col min="4355" max="4355" width="35.8857142857143" style="45" customWidth="1"/>
    <col min="4356" max="4356" width="10.8857142857143" style="45" customWidth="1"/>
    <col min="4357" max="4357" width="9.43809523809524" style="45" customWidth="1"/>
    <col min="4358" max="4358" width="13.552380952381" style="45" customWidth="1"/>
    <col min="4359" max="4359" width="12.8857142857143" style="45" customWidth="1"/>
    <col min="4360" max="4360" width="12.552380952381" style="45" customWidth="1"/>
    <col min="4361" max="4361" width="12.3333333333333" style="45" customWidth="1"/>
    <col min="4362" max="4362" width="15.6666666666667" style="45" customWidth="1"/>
    <col min="4363" max="4363" width="9" style="45" hidden="1" customWidth="1"/>
    <col min="4364" max="4609" width="9.1047619047619" style="45"/>
    <col min="4610" max="4610" width="6.33333333333333" style="45" customWidth="1"/>
    <col min="4611" max="4611" width="35.8857142857143" style="45" customWidth="1"/>
    <col min="4612" max="4612" width="10.8857142857143" style="45" customWidth="1"/>
    <col min="4613" max="4613" width="9.43809523809524" style="45" customWidth="1"/>
    <col min="4614" max="4614" width="13.552380952381" style="45" customWidth="1"/>
    <col min="4615" max="4615" width="12.8857142857143" style="45" customWidth="1"/>
    <col min="4616" max="4616" width="12.552380952381" style="45" customWidth="1"/>
    <col min="4617" max="4617" width="12.3333333333333" style="45" customWidth="1"/>
    <col min="4618" max="4618" width="15.6666666666667" style="45" customWidth="1"/>
    <col min="4619" max="4619" width="9" style="45" hidden="1" customWidth="1"/>
    <col min="4620" max="4865" width="9.1047619047619" style="45"/>
    <col min="4866" max="4866" width="6.33333333333333" style="45" customWidth="1"/>
    <col min="4867" max="4867" width="35.8857142857143" style="45" customWidth="1"/>
    <col min="4868" max="4868" width="10.8857142857143" style="45" customWidth="1"/>
    <col min="4869" max="4869" width="9.43809523809524" style="45" customWidth="1"/>
    <col min="4870" max="4870" width="13.552380952381" style="45" customWidth="1"/>
    <col min="4871" max="4871" width="12.8857142857143" style="45" customWidth="1"/>
    <col min="4872" max="4872" width="12.552380952381" style="45" customWidth="1"/>
    <col min="4873" max="4873" width="12.3333333333333" style="45" customWidth="1"/>
    <col min="4874" max="4874" width="15.6666666666667" style="45" customWidth="1"/>
    <col min="4875" max="4875" width="9" style="45" hidden="1" customWidth="1"/>
    <col min="4876" max="5121" width="9.1047619047619" style="45"/>
    <col min="5122" max="5122" width="6.33333333333333" style="45" customWidth="1"/>
    <col min="5123" max="5123" width="35.8857142857143" style="45" customWidth="1"/>
    <col min="5124" max="5124" width="10.8857142857143" style="45" customWidth="1"/>
    <col min="5125" max="5125" width="9.43809523809524" style="45" customWidth="1"/>
    <col min="5126" max="5126" width="13.552380952381" style="45" customWidth="1"/>
    <col min="5127" max="5127" width="12.8857142857143" style="45" customWidth="1"/>
    <col min="5128" max="5128" width="12.552380952381" style="45" customWidth="1"/>
    <col min="5129" max="5129" width="12.3333333333333" style="45" customWidth="1"/>
    <col min="5130" max="5130" width="15.6666666666667" style="45" customWidth="1"/>
    <col min="5131" max="5131" width="9" style="45" hidden="1" customWidth="1"/>
    <col min="5132" max="5377" width="9.1047619047619" style="45"/>
    <col min="5378" max="5378" width="6.33333333333333" style="45" customWidth="1"/>
    <col min="5379" max="5379" width="35.8857142857143" style="45" customWidth="1"/>
    <col min="5380" max="5380" width="10.8857142857143" style="45" customWidth="1"/>
    <col min="5381" max="5381" width="9.43809523809524" style="45" customWidth="1"/>
    <col min="5382" max="5382" width="13.552380952381" style="45" customWidth="1"/>
    <col min="5383" max="5383" width="12.8857142857143" style="45" customWidth="1"/>
    <col min="5384" max="5384" width="12.552380952381" style="45" customWidth="1"/>
    <col min="5385" max="5385" width="12.3333333333333" style="45" customWidth="1"/>
    <col min="5386" max="5386" width="15.6666666666667" style="45" customWidth="1"/>
    <col min="5387" max="5387" width="9" style="45" hidden="1" customWidth="1"/>
    <col min="5388" max="5633" width="9.1047619047619" style="45"/>
    <col min="5634" max="5634" width="6.33333333333333" style="45" customWidth="1"/>
    <col min="5635" max="5635" width="35.8857142857143" style="45" customWidth="1"/>
    <col min="5636" max="5636" width="10.8857142857143" style="45" customWidth="1"/>
    <col min="5637" max="5637" width="9.43809523809524" style="45" customWidth="1"/>
    <col min="5638" max="5638" width="13.552380952381" style="45" customWidth="1"/>
    <col min="5639" max="5639" width="12.8857142857143" style="45" customWidth="1"/>
    <col min="5640" max="5640" width="12.552380952381" style="45" customWidth="1"/>
    <col min="5641" max="5641" width="12.3333333333333" style="45" customWidth="1"/>
    <col min="5642" max="5642" width="15.6666666666667" style="45" customWidth="1"/>
    <col min="5643" max="5643" width="9" style="45" hidden="1" customWidth="1"/>
    <col min="5644" max="5889" width="9.1047619047619" style="45"/>
    <col min="5890" max="5890" width="6.33333333333333" style="45" customWidth="1"/>
    <col min="5891" max="5891" width="35.8857142857143" style="45" customWidth="1"/>
    <col min="5892" max="5892" width="10.8857142857143" style="45" customWidth="1"/>
    <col min="5893" max="5893" width="9.43809523809524" style="45" customWidth="1"/>
    <col min="5894" max="5894" width="13.552380952381" style="45" customWidth="1"/>
    <col min="5895" max="5895" width="12.8857142857143" style="45" customWidth="1"/>
    <col min="5896" max="5896" width="12.552380952381" style="45" customWidth="1"/>
    <col min="5897" max="5897" width="12.3333333333333" style="45" customWidth="1"/>
    <col min="5898" max="5898" width="15.6666666666667" style="45" customWidth="1"/>
    <col min="5899" max="5899" width="9" style="45" hidden="1" customWidth="1"/>
    <col min="5900" max="6145" width="9.1047619047619" style="45"/>
    <col min="6146" max="6146" width="6.33333333333333" style="45" customWidth="1"/>
    <col min="6147" max="6147" width="35.8857142857143" style="45" customWidth="1"/>
    <col min="6148" max="6148" width="10.8857142857143" style="45" customWidth="1"/>
    <col min="6149" max="6149" width="9.43809523809524" style="45" customWidth="1"/>
    <col min="6150" max="6150" width="13.552380952381" style="45" customWidth="1"/>
    <col min="6151" max="6151" width="12.8857142857143" style="45" customWidth="1"/>
    <col min="6152" max="6152" width="12.552380952381" style="45" customWidth="1"/>
    <col min="6153" max="6153" width="12.3333333333333" style="45" customWidth="1"/>
    <col min="6154" max="6154" width="15.6666666666667" style="45" customWidth="1"/>
    <col min="6155" max="6155" width="9" style="45" hidden="1" customWidth="1"/>
    <col min="6156" max="6401" width="9.1047619047619" style="45"/>
    <col min="6402" max="6402" width="6.33333333333333" style="45" customWidth="1"/>
    <col min="6403" max="6403" width="35.8857142857143" style="45" customWidth="1"/>
    <col min="6404" max="6404" width="10.8857142857143" style="45" customWidth="1"/>
    <col min="6405" max="6405" width="9.43809523809524" style="45" customWidth="1"/>
    <col min="6406" max="6406" width="13.552380952381" style="45" customWidth="1"/>
    <col min="6407" max="6407" width="12.8857142857143" style="45" customWidth="1"/>
    <col min="6408" max="6408" width="12.552380952381" style="45" customWidth="1"/>
    <col min="6409" max="6409" width="12.3333333333333" style="45" customWidth="1"/>
    <col min="6410" max="6410" width="15.6666666666667" style="45" customWidth="1"/>
    <col min="6411" max="6411" width="9" style="45" hidden="1" customWidth="1"/>
    <col min="6412" max="6657" width="9.1047619047619" style="45"/>
    <col min="6658" max="6658" width="6.33333333333333" style="45" customWidth="1"/>
    <col min="6659" max="6659" width="35.8857142857143" style="45" customWidth="1"/>
    <col min="6660" max="6660" width="10.8857142857143" style="45" customWidth="1"/>
    <col min="6661" max="6661" width="9.43809523809524" style="45" customWidth="1"/>
    <col min="6662" max="6662" width="13.552380952381" style="45" customWidth="1"/>
    <col min="6663" max="6663" width="12.8857142857143" style="45" customWidth="1"/>
    <col min="6664" max="6664" width="12.552380952381" style="45" customWidth="1"/>
    <col min="6665" max="6665" width="12.3333333333333" style="45" customWidth="1"/>
    <col min="6666" max="6666" width="15.6666666666667" style="45" customWidth="1"/>
    <col min="6667" max="6667" width="9" style="45" hidden="1" customWidth="1"/>
    <col min="6668" max="6913" width="9.1047619047619" style="45"/>
    <col min="6914" max="6914" width="6.33333333333333" style="45" customWidth="1"/>
    <col min="6915" max="6915" width="35.8857142857143" style="45" customWidth="1"/>
    <col min="6916" max="6916" width="10.8857142857143" style="45" customWidth="1"/>
    <col min="6917" max="6917" width="9.43809523809524" style="45" customWidth="1"/>
    <col min="6918" max="6918" width="13.552380952381" style="45" customWidth="1"/>
    <col min="6919" max="6919" width="12.8857142857143" style="45" customWidth="1"/>
    <col min="6920" max="6920" width="12.552380952381" style="45" customWidth="1"/>
    <col min="6921" max="6921" width="12.3333333333333" style="45" customWidth="1"/>
    <col min="6922" max="6922" width="15.6666666666667" style="45" customWidth="1"/>
    <col min="6923" max="6923" width="9" style="45" hidden="1" customWidth="1"/>
    <col min="6924" max="7169" width="9.1047619047619" style="45"/>
    <col min="7170" max="7170" width="6.33333333333333" style="45" customWidth="1"/>
    <col min="7171" max="7171" width="35.8857142857143" style="45" customWidth="1"/>
    <col min="7172" max="7172" width="10.8857142857143" style="45" customWidth="1"/>
    <col min="7173" max="7173" width="9.43809523809524" style="45" customWidth="1"/>
    <col min="7174" max="7174" width="13.552380952381" style="45" customWidth="1"/>
    <col min="7175" max="7175" width="12.8857142857143" style="45" customWidth="1"/>
    <col min="7176" max="7176" width="12.552380952381" style="45" customWidth="1"/>
    <col min="7177" max="7177" width="12.3333333333333" style="45" customWidth="1"/>
    <col min="7178" max="7178" width="15.6666666666667" style="45" customWidth="1"/>
    <col min="7179" max="7179" width="9" style="45" hidden="1" customWidth="1"/>
    <col min="7180" max="7425" width="9.1047619047619" style="45"/>
    <col min="7426" max="7426" width="6.33333333333333" style="45" customWidth="1"/>
    <col min="7427" max="7427" width="35.8857142857143" style="45" customWidth="1"/>
    <col min="7428" max="7428" width="10.8857142857143" style="45" customWidth="1"/>
    <col min="7429" max="7429" width="9.43809523809524" style="45" customWidth="1"/>
    <col min="7430" max="7430" width="13.552380952381" style="45" customWidth="1"/>
    <col min="7431" max="7431" width="12.8857142857143" style="45" customWidth="1"/>
    <col min="7432" max="7432" width="12.552380952381" style="45" customWidth="1"/>
    <col min="7433" max="7433" width="12.3333333333333" style="45" customWidth="1"/>
    <col min="7434" max="7434" width="15.6666666666667" style="45" customWidth="1"/>
    <col min="7435" max="7435" width="9" style="45" hidden="1" customWidth="1"/>
    <col min="7436" max="7681" width="9.1047619047619" style="45"/>
    <col min="7682" max="7682" width="6.33333333333333" style="45" customWidth="1"/>
    <col min="7683" max="7683" width="35.8857142857143" style="45" customWidth="1"/>
    <col min="7684" max="7684" width="10.8857142857143" style="45" customWidth="1"/>
    <col min="7685" max="7685" width="9.43809523809524" style="45" customWidth="1"/>
    <col min="7686" max="7686" width="13.552380952381" style="45" customWidth="1"/>
    <col min="7687" max="7687" width="12.8857142857143" style="45" customWidth="1"/>
    <col min="7688" max="7688" width="12.552380952381" style="45" customWidth="1"/>
    <col min="7689" max="7689" width="12.3333333333333" style="45" customWidth="1"/>
    <col min="7690" max="7690" width="15.6666666666667" style="45" customWidth="1"/>
    <col min="7691" max="7691" width="9" style="45" hidden="1" customWidth="1"/>
    <col min="7692" max="7937" width="9.1047619047619" style="45"/>
    <col min="7938" max="7938" width="6.33333333333333" style="45" customWidth="1"/>
    <col min="7939" max="7939" width="35.8857142857143" style="45" customWidth="1"/>
    <col min="7940" max="7940" width="10.8857142857143" style="45" customWidth="1"/>
    <col min="7941" max="7941" width="9.43809523809524" style="45" customWidth="1"/>
    <col min="7942" max="7942" width="13.552380952381" style="45" customWidth="1"/>
    <col min="7943" max="7943" width="12.8857142857143" style="45" customWidth="1"/>
    <col min="7944" max="7944" width="12.552380952381" style="45" customWidth="1"/>
    <col min="7945" max="7945" width="12.3333333333333" style="45" customWidth="1"/>
    <col min="7946" max="7946" width="15.6666666666667" style="45" customWidth="1"/>
    <col min="7947" max="7947" width="9" style="45" hidden="1" customWidth="1"/>
    <col min="7948" max="8193" width="9.1047619047619" style="45"/>
    <col min="8194" max="8194" width="6.33333333333333" style="45" customWidth="1"/>
    <col min="8195" max="8195" width="35.8857142857143" style="45" customWidth="1"/>
    <col min="8196" max="8196" width="10.8857142857143" style="45" customWidth="1"/>
    <col min="8197" max="8197" width="9.43809523809524" style="45" customWidth="1"/>
    <col min="8198" max="8198" width="13.552380952381" style="45" customWidth="1"/>
    <col min="8199" max="8199" width="12.8857142857143" style="45" customWidth="1"/>
    <col min="8200" max="8200" width="12.552380952381" style="45" customWidth="1"/>
    <col min="8201" max="8201" width="12.3333333333333" style="45" customWidth="1"/>
    <col min="8202" max="8202" width="15.6666666666667" style="45" customWidth="1"/>
    <col min="8203" max="8203" width="9" style="45" hidden="1" customWidth="1"/>
    <col min="8204" max="8449" width="9.1047619047619" style="45"/>
    <col min="8450" max="8450" width="6.33333333333333" style="45" customWidth="1"/>
    <col min="8451" max="8451" width="35.8857142857143" style="45" customWidth="1"/>
    <col min="8452" max="8452" width="10.8857142857143" style="45" customWidth="1"/>
    <col min="8453" max="8453" width="9.43809523809524" style="45" customWidth="1"/>
    <col min="8454" max="8454" width="13.552380952381" style="45" customWidth="1"/>
    <col min="8455" max="8455" width="12.8857142857143" style="45" customWidth="1"/>
    <col min="8456" max="8456" width="12.552380952381" style="45" customWidth="1"/>
    <col min="8457" max="8457" width="12.3333333333333" style="45" customWidth="1"/>
    <col min="8458" max="8458" width="15.6666666666667" style="45" customWidth="1"/>
    <col min="8459" max="8459" width="9" style="45" hidden="1" customWidth="1"/>
    <col min="8460" max="8705" width="9.1047619047619" style="45"/>
    <col min="8706" max="8706" width="6.33333333333333" style="45" customWidth="1"/>
    <col min="8707" max="8707" width="35.8857142857143" style="45" customWidth="1"/>
    <col min="8708" max="8708" width="10.8857142857143" style="45" customWidth="1"/>
    <col min="8709" max="8709" width="9.43809523809524" style="45" customWidth="1"/>
    <col min="8710" max="8710" width="13.552380952381" style="45" customWidth="1"/>
    <col min="8711" max="8711" width="12.8857142857143" style="45" customWidth="1"/>
    <col min="8712" max="8712" width="12.552380952381" style="45" customWidth="1"/>
    <col min="8713" max="8713" width="12.3333333333333" style="45" customWidth="1"/>
    <col min="8714" max="8714" width="15.6666666666667" style="45" customWidth="1"/>
    <col min="8715" max="8715" width="9" style="45" hidden="1" customWidth="1"/>
    <col min="8716" max="8961" width="9.1047619047619" style="45"/>
    <col min="8962" max="8962" width="6.33333333333333" style="45" customWidth="1"/>
    <col min="8963" max="8963" width="35.8857142857143" style="45" customWidth="1"/>
    <col min="8964" max="8964" width="10.8857142857143" style="45" customWidth="1"/>
    <col min="8965" max="8965" width="9.43809523809524" style="45" customWidth="1"/>
    <col min="8966" max="8966" width="13.552380952381" style="45" customWidth="1"/>
    <col min="8967" max="8967" width="12.8857142857143" style="45" customWidth="1"/>
    <col min="8968" max="8968" width="12.552380952381" style="45" customWidth="1"/>
    <col min="8969" max="8969" width="12.3333333333333" style="45" customWidth="1"/>
    <col min="8970" max="8970" width="15.6666666666667" style="45" customWidth="1"/>
    <col min="8971" max="8971" width="9" style="45" hidden="1" customWidth="1"/>
    <col min="8972" max="9217" width="9.1047619047619" style="45"/>
    <col min="9218" max="9218" width="6.33333333333333" style="45" customWidth="1"/>
    <col min="9219" max="9219" width="35.8857142857143" style="45" customWidth="1"/>
    <col min="9220" max="9220" width="10.8857142857143" style="45" customWidth="1"/>
    <col min="9221" max="9221" width="9.43809523809524" style="45" customWidth="1"/>
    <col min="9222" max="9222" width="13.552380952381" style="45" customWidth="1"/>
    <col min="9223" max="9223" width="12.8857142857143" style="45" customWidth="1"/>
    <col min="9224" max="9224" width="12.552380952381" style="45" customWidth="1"/>
    <col min="9225" max="9225" width="12.3333333333333" style="45" customWidth="1"/>
    <col min="9226" max="9226" width="15.6666666666667" style="45" customWidth="1"/>
    <col min="9227" max="9227" width="9" style="45" hidden="1" customWidth="1"/>
    <col min="9228" max="9473" width="9.1047619047619" style="45"/>
    <col min="9474" max="9474" width="6.33333333333333" style="45" customWidth="1"/>
    <col min="9475" max="9475" width="35.8857142857143" style="45" customWidth="1"/>
    <col min="9476" max="9476" width="10.8857142857143" style="45" customWidth="1"/>
    <col min="9477" max="9477" width="9.43809523809524" style="45" customWidth="1"/>
    <col min="9478" max="9478" width="13.552380952381" style="45" customWidth="1"/>
    <col min="9479" max="9479" width="12.8857142857143" style="45" customWidth="1"/>
    <col min="9480" max="9480" width="12.552380952381" style="45" customWidth="1"/>
    <col min="9481" max="9481" width="12.3333333333333" style="45" customWidth="1"/>
    <col min="9482" max="9482" width="15.6666666666667" style="45" customWidth="1"/>
    <col min="9483" max="9483" width="9" style="45" hidden="1" customWidth="1"/>
    <col min="9484" max="9729" width="9.1047619047619" style="45"/>
    <col min="9730" max="9730" width="6.33333333333333" style="45" customWidth="1"/>
    <col min="9731" max="9731" width="35.8857142857143" style="45" customWidth="1"/>
    <col min="9732" max="9732" width="10.8857142857143" style="45" customWidth="1"/>
    <col min="9733" max="9733" width="9.43809523809524" style="45" customWidth="1"/>
    <col min="9734" max="9734" width="13.552380952381" style="45" customWidth="1"/>
    <col min="9735" max="9735" width="12.8857142857143" style="45" customWidth="1"/>
    <col min="9736" max="9736" width="12.552380952381" style="45" customWidth="1"/>
    <col min="9737" max="9737" width="12.3333333333333" style="45" customWidth="1"/>
    <col min="9738" max="9738" width="15.6666666666667" style="45" customWidth="1"/>
    <col min="9739" max="9739" width="9" style="45" hidden="1" customWidth="1"/>
    <col min="9740" max="9985" width="9.1047619047619" style="45"/>
    <col min="9986" max="9986" width="6.33333333333333" style="45" customWidth="1"/>
    <col min="9987" max="9987" width="35.8857142857143" style="45" customWidth="1"/>
    <col min="9988" max="9988" width="10.8857142857143" style="45" customWidth="1"/>
    <col min="9989" max="9989" width="9.43809523809524" style="45" customWidth="1"/>
    <col min="9990" max="9990" width="13.552380952381" style="45" customWidth="1"/>
    <col min="9991" max="9991" width="12.8857142857143" style="45" customWidth="1"/>
    <col min="9992" max="9992" width="12.552380952381" style="45" customWidth="1"/>
    <col min="9993" max="9993" width="12.3333333333333" style="45" customWidth="1"/>
    <col min="9994" max="9994" width="15.6666666666667" style="45" customWidth="1"/>
    <col min="9995" max="9995" width="9" style="45" hidden="1" customWidth="1"/>
    <col min="9996" max="10241" width="9.1047619047619" style="45"/>
    <col min="10242" max="10242" width="6.33333333333333" style="45" customWidth="1"/>
    <col min="10243" max="10243" width="35.8857142857143" style="45" customWidth="1"/>
    <col min="10244" max="10244" width="10.8857142857143" style="45" customWidth="1"/>
    <col min="10245" max="10245" width="9.43809523809524" style="45" customWidth="1"/>
    <col min="10246" max="10246" width="13.552380952381" style="45" customWidth="1"/>
    <col min="10247" max="10247" width="12.8857142857143" style="45" customWidth="1"/>
    <col min="10248" max="10248" width="12.552380952381" style="45" customWidth="1"/>
    <col min="10249" max="10249" width="12.3333333333333" style="45" customWidth="1"/>
    <col min="10250" max="10250" width="15.6666666666667" style="45" customWidth="1"/>
    <col min="10251" max="10251" width="9" style="45" hidden="1" customWidth="1"/>
    <col min="10252" max="10497" width="9.1047619047619" style="45"/>
    <col min="10498" max="10498" width="6.33333333333333" style="45" customWidth="1"/>
    <col min="10499" max="10499" width="35.8857142857143" style="45" customWidth="1"/>
    <col min="10500" max="10500" width="10.8857142857143" style="45" customWidth="1"/>
    <col min="10501" max="10501" width="9.43809523809524" style="45" customWidth="1"/>
    <col min="10502" max="10502" width="13.552380952381" style="45" customWidth="1"/>
    <col min="10503" max="10503" width="12.8857142857143" style="45" customWidth="1"/>
    <col min="10504" max="10504" width="12.552380952381" style="45" customWidth="1"/>
    <col min="10505" max="10505" width="12.3333333333333" style="45" customWidth="1"/>
    <col min="10506" max="10506" width="15.6666666666667" style="45" customWidth="1"/>
    <col min="10507" max="10507" width="9" style="45" hidden="1" customWidth="1"/>
    <col min="10508" max="10753" width="9.1047619047619" style="45"/>
    <col min="10754" max="10754" width="6.33333333333333" style="45" customWidth="1"/>
    <col min="10755" max="10755" width="35.8857142857143" style="45" customWidth="1"/>
    <col min="10756" max="10756" width="10.8857142857143" style="45" customWidth="1"/>
    <col min="10757" max="10757" width="9.43809523809524" style="45" customWidth="1"/>
    <col min="10758" max="10758" width="13.552380952381" style="45" customWidth="1"/>
    <col min="10759" max="10759" width="12.8857142857143" style="45" customWidth="1"/>
    <col min="10760" max="10760" width="12.552380952381" style="45" customWidth="1"/>
    <col min="10761" max="10761" width="12.3333333333333" style="45" customWidth="1"/>
    <col min="10762" max="10762" width="15.6666666666667" style="45" customWidth="1"/>
    <col min="10763" max="10763" width="9" style="45" hidden="1" customWidth="1"/>
    <col min="10764" max="11009" width="9.1047619047619" style="45"/>
    <col min="11010" max="11010" width="6.33333333333333" style="45" customWidth="1"/>
    <col min="11011" max="11011" width="35.8857142857143" style="45" customWidth="1"/>
    <col min="11012" max="11012" width="10.8857142857143" style="45" customWidth="1"/>
    <col min="11013" max="11013" width="9.43809523809524" style="45" customWidth="1"/>
    <col min="11014" max="11014" width="13.552380952381" style="45" customWidth="1"/>
    <col min="11015" max="11015" width="12.8857142857143" style="45" customWidth="1"/>
    <col min="11016" max="11016" width="12.552380952381" style="45" customWidth="1"/>
    <col min="11017" max="11017" width="12.3333333333333" style="45" customWidth="1"/>
    <col min="11018" max="11018" width="15.6666666666667" style="45" customWidth="1"/>
    <col min="11019" max="11019" width="9" style="45" hidden="1" customWidth="1"/>
    <col min="11020" max="11265" width="9.1047619047619" style="45"/>
    <col min="11266" max="11266" width="6.33333333333333" style="45" customWidth="1"/>
    <col min="11267" max="11267" width="35.8857142857143" style="45" customWidth="1"/>
    <col min="11268" max="11268" width="10.8857142857143" style="45" customWidth="1"/>
    <col min="11269" max="11269" width="9.43809523809524" style="45" customWidth="1"/>
    <col min="11270" max="11270" width="13.552380952381" style="45" customWidth="1"/>
    <col min="11271" max="11271" width="12.8857142857143" style="45" customWidth="1"/>
    <col min="11272" max="11272" width="12.552380952381" style="45" customWidth="1"/>
    <col min="11273" max="11273" width="12.3333333333333" style="45" customWidth="1"/>
    <col min="11274" max="11274" width="15.6666666666667" style="45" customWidth="1"/>
    <col min="11275" max="11275" width="9" style="45" hidden="1" customWidth="1"/>
    <col min="11276" max="11521" width="9.1047619047619" style="45"/>
    <col min="11522" max="11522" width="6.33333333333333" style="45" customWidth="1"/>
    <col min="11523" max="11523" width="35.8857142857143" style="45" customWidth="1"/>
    <col min="11524" max="11524" width="10.8857142857143" style="45" customWidth="1"/>
    <col min="11525" max="11525" width="9.43809523809524" style="45" customWidth="1"/>
    <col min="11526" max="11526" width="13.552380952381" style="45" customWidth="1"/>
    <col min="11527" max="11527" width="12.8857142857143" style="45" customWidth="1"/>
    <col min="11528" max="11528" width="12.552380952381" style="45" customWidth="1"/>
    <col min="11529" max="11529" width="12.3333333333333" style="45" customWidth="1"/>
    <col min="11530" max="11530" width="15.6666666666667" style="45" customWidth="1"/>
    <col min="11531" max="11531" width="9" style="45" hidden="1" customWidth="1"/>
    <col min="11532" max="11777" width="9.1047619047619" style="45"/>
    <col min="11778" max="11778" width="6.33333333333333" style="45" customWidth="1"/>
    <col min="11779" max="11779" width="35.8857142857143" style="45" customWidth="1"/>
    <col min="11780" max="11780" width="10.8857142857143" style="45" customWidth="1"/>
    <col min="11781" max="11781" width="9.43809523809524" style="45" customWidth="1"/>
    <col min="11782" max="11782" width="13.552380952381" style="45" customWidth="1"/>
    <col min="11783" max="11783" width="12.8857142857143" style="45" customWidth="1"/>
    <col min="11784" max="11784" width="12.552380952381" style="45" customWidth="1"/>
    <col min="11785" max="11785" width="12.3333333333333" style="45" customWidth="1"/>
    <col min="11786" max="11786" width="15.6666666666667" style="45" customWidth="1"/>
    <col min="11787" max="11787" width="9" style="45" hidden="1" customWidth="1"/>
    <col min="11788" max="12033" width="9.1047619047619" style="45"/>
    <col min="12034" max="12034" width="6.33333333333333" style="45" customWidth="1"/>
    <col min="12035" max="12035" width="35.8857142857143" style="45" customWidth="1"/>
    <col min="12036" max="12036" width="10.8857142857143" style="45" customWidth="1"/>
    <col min="12037" max="12037" width="9.43809523809524" style="45" customWidth="1"/>
    <col min="12038" max="12038" width="13.552380952381" style="45" customWidth="1"/>
    <col min="12039" max="12039" width="12.8857142857143" style="45" customWidth="1"/>
    <col min="12040" max="12040" width="12.552380952381" style="45" customWidth="1"/>
    <col min="12041" max="12041" width="12.3333333333333" style="45" customWidth="1"/>
    <col min="12042" max="12042" width="15.6666666666667" style="45" customWidth="1"/>
    <col min="12043" max="12043" width="9" style="45" hidden="1" customWidth="1"/>
    <col min="12044" max="12289" width="9.1047619047619" style="45"/>
    <col min="12290" max="12290" width="6.33333333333333" style="45" customWidth="1"/>
    <col min="12291" max="12291" width="35.8857142857143" style="45" customWidth="1"/>
    <col min="12292" max="12292" width="10.8857142857143" style="45" customWidth="1"/>
    <col min="12293" max="12293" width="9.43809523809524" style="45" customWidth="1"/>
    <col min="12294" max="12294" width="13.552380952381" style="45" customWidth="1"/>
    <col min="12295" max="12295" width="12.8857142857143" style="45" customWidth="1"/>
    <col min="12296" max="12296" width="12.552380952381" style="45" customWidth="1"/>
    <col min="12297" max="12297" width="12.3333333333333" style="45" customWidth="1"/>
    <col min="12298" max="12298" width="15.6666666666667" style="45" customWidth="1"/>
    <col min="12299" max="12299" width="9" style="45" hidden="1" customWidth="1"/>
    <col min="12300" max="12545" width="9.1047619047619" style="45"/>
    <col min="12546" max="12546" width="6.33333333333333" style="45" customWidth="1"/>
    <col min="12547" max="12547" width="35.8857142857143" style="45" customWidth="1"/>
    <col min="12548" max="12548" width="10.8857142857143" style="45" customWidth="1"/>
    <col min="12549" max="12549" width="9.43809523809524" style="45" customWidth="1"/>
    <col min="12550" max="12550" width="13.552380952381" style="45" customWidth="1"/>
    <col min="12551" max="12551" width="12.8857142857143" style="45" customWidth="1"/>
    <col min="12552" max="12552" width="12.552380952381" style="45" customWidth="1"/>
    <col min="12553" max="12553" width="12.3333333333333" style="45" customWidth="1"/>
    <col min="12554" max="12554" width="15.6666666666667" style="45" customWidth="1"/>
    <col min="12555" max="12555" width="9" style="45" hidden="1" customWidth="1"/>
    <col min="12556" max="12801" width="9.1047619047619" style="45"/>
    <col min="12802" max="12802" width="6.33333333333333" style="45" customWidth="1"/>
    <col min="12803" max="12803" width="35.8857142857143" style="45" customWidth="1"/>
    <col min="12804" max="12804" width="10.8857142857143" style="45" customWidth="1"/>
    <col min="12805" max="12805" width="9.43809523809524" style="45" customWidth="1"/>
    <col min="12806" max="12806" width="13.552380952381" style="45" customWidth="1"/>
    <col min="12807" max="12807" width="12.8857142857143" style="45" customWidth="1"/>
    <col min="12808" max="12808" width="12.552380952381" style="45" customWidth="1"/>
    <col min="12809" max="12809" width="12.3333333333333" style="45" customWidth="1"/>
    <col min="12810" max="12810" width="15.6666666666667" style="45" customWidth="1"/>
    <col min="12811" max="12811" width="9" style="45" hidden="1" customWidth="1"/>
    <col min="12812" max="13057" width="9.1047619047619" style="45"/>
    <col min="13058" max="13058" width="6.33333333333333" style="45" customWidth="1"/>
    <col min="13059" max="13059" width="35.8857142857143" style="45" customWidth="1"/>
    <col min="13060" max="13060" width="10.8857142857143" style="45" customWidth="1"/>
    <col min="13061" max="13061" width="9.43809523809524" style="45" customWidth="1"/>
    <col min="13062" max="13062" width="13.552380952381" style="45" customWidth="1"/>
    <col min="13063" max="13063" width="12.8857142857143" style="45" customWidth="1"/>
    <col min="13064" max="13064" width="12.552380952381" style="45" customWidth="1"/>
    <col min="13065" max="13065" width="12.3333333333333" style="45" customWidth="1"/>
    <col min="13066" max="13066" width="15.6666666666667" style="45" customWidth="1"/>
    <col min="13067" max="13067" width="9" style="45" hidden="1" customWidth="1"/>
    <col min="13068" max="13313" width="9.1047619047619" style="45"/>
    <col min="13314" max="13314" width="6.33333333333333" style="45" customWidth="1"/>
    <col min="13315" max="13315" width="35.8857142857143" style="45" customWidth="1"/>
    <col min="13316" max="13316" width="10.8857142857143" style="45" customWidth="1"/>
    <col min="13317" max="13317" width="9.43809523809524" style="45" customWidth="1"/>
    <col min="13318" max="13318" width="13.552380952381" style="45" customWidth="1"/>
    <col min="13319" max="13319" width="12.8857142857143" style="45" customWidth="1"/>
    <col min="13320" max="13320" width="12.552380952381" style="45" customWidth="1"/>
    <col min="13321" max="13321" width="12.3333333333333" style="45" customWidth="1"/>
    <col min="13322" max="13322" width="15.6666666666667" style="45" customWidth="1"/>
    <col min="13323" max="13323" width="9" style="45" hidden="1" customWidth="1"/>
    <col min="13324" max="13569" width="9.1047619047619" style="45"/>
    <col min="13570" max="13570" width="6.33333333333333" style="45" customWidth="1"/>
    <col min="13571" max="13571" width="35.8857142857143" style="45" customWidth="1"/>
    <col min="13572" max="13572" width="10.8857142857143" style="45" customWidth="1"/>
    <col min="13573" max="13573" width="9.43809523809524" style="45" customWidth="1"/>
    <col min="13574" max="13574" width="13.552380952381" style="45" customWidth="1"/>
    <col min="13575" max="13575" width="12.8857142857143" style="45" customWidth="1"/>
    <col min="13576" max="13576" width="12.552380952381" style="45" customWidth="1"/>
    <col min="13577" max="13577" width="12.3333333333333" style="45" customWidth="1"/>
    <col min="13578" max="13578" width="15.6666666666667" style="45" customWidth="1"/>
    <col min="13579" max="13579" width="9" style="45" hidden="1" customWidth="1"/>
    <col min="13580" max="13825" width="9.1047619047619" style="45"/>
    <col min="13826" max="13826" width="6.33333333333333" style="45" customWidth="1"/>
    <col min="13827" max="13827" width="35.8857142857143" style="45" customWidth="1"/>
    <col min="13828" max="13828" width="10.8857142857143" style="45" customWidth="1"/>
    <col min="13829" max="13829" width="9.43809523809524" style="45" customWidth="1"/>
    <col min="13830" max="13830" width="13.552380952381" style="45" customWidth="1"/>
    <col min="13831" max="13831" width="12.8857142857143" style="45" customWidth="1"/>
    <col min="13832" max="13832" width="12.552380952381" style="45" customWidth="1"/>
    <col min="13833" max="13833" width="12.3333333333333" style="45" customWidth="1"/>
    <col min="13834" max="13834" width="15.6666666666667" style="45" customWidth="1"/>
    <col min="13835" max="13835" width="9" style="45" hidden="1" customWidth="1"/>
    <col min="13836" max="14081" width="9.1047619047619" style="45"/>
    <col min="14082" max="14082" width="6.33333333333333" style="45" customWidth="1"/>
    <col min="14083" max="14083" width="35.8857142857143" style="45" customWidth="1"/>
    <col min="14084" max="14084" width="10.8857142857143" style="45" customWidth="1"/>
    <col min="14085" max="14085" width="9.43809523809524" style="45" customWidth="1"/>
    <col min="14086" max="14086" width="13.552380952381" style="45" customWidth="1"/>
    <col min="14087" max="14087" width="12.8857142857143" style="45" customWidth="1"/>
    <col min="14088" max="14088" width="12.552380952381" style="45" customWidth="1"/>
    <col min="14089" max="14089" width="12.3333333333333" style="45" customWidth="1"/>
    <col min="14090" max="14090" width="15.6666666666667" style="45" customWidth="1"/>
    <col min="14091" max="14091" width="9" style="45" hidden="1" customWidth="1"/>
    <col min="14092" max="14337" width="9.1047619047619" style="45"/>
    <col min="14338" max="14338" width="6.33333333333333" style="45" customWidth="1"/>
    <col min="14339" max="14339" width="35.8857142857143" style="45" customWidth="1"/>
    <col min="14340" max="14340" width="10.8857142857143" style="45" customWidth="1"/>
    <col min="14341" max="14341" width="9.43809523809524" style="45" customWidth="1"/>
    <col min="14342" max="14342" width="13.552380952381" style="45" customWidth="1"/>
    <col min="14343" max="14343" width="12.8857142857143" style="45" customWidth="1"/>
    <col min="14344" max="14344" width="12.552380952381" style="45" customWidth="1"/>
    <col min="14345" max="14345" width="12.3333333333333" style="45" customWidth="1"/>
    <col min="14346" max="14346" width="15.6666666666667" style="45" customWidth="1"/>
    <col min="14347" max="14347" width="9" style="45" hidden="1" customWidth="1"/>
    <col min="14348" max="14593" width="9.1047619047619" style="45"/>
    <col min="14594" max="14594" width="6.33333333333333" style="45" customWidth="1"/>
    <col min="14595" max="14595" width="35.8857142857143" style="45" customWidth="1"/>
    <col min="14596" max="14596" width="10.8857142857143" style="45" customWidth="1"/>
    <col min="14597" max="14597" width="9.43809523809524" style="45" customWidth="1"/>
    <col min="14598" max="14598" width="13.552380952381" style="45" customWidth="1"/>
    <col min="14599" max="14599" width="12.8857142857143" style="45" customWidth="1"/>
    <col min="14600" max="14600" width="12.552380952381" style="45" customWidth="1"/>
    <col min="14601" max="14601" width="12.3333333333333" style="45" customWidth="1"/>
    <col min="14602" max="14602" width="15.6666666666667" style="45" customWidth="1"/>
    <col min="14603" max="14603" width="9" style="45" hidden="1" customWidth="1"/>
    <col min="14604" max="14849" width="9.1047619047619" style="45"/>
    <col min="14850" max="14850" width="6.33333333333333" style="45" customWidth="1"/>
    <col min="14851" max="14851" width="35.8857142857143" style="45" customWidth="1"/>
    <col min="14852" max="14852" width="10.8857142857143" style="45" customWidth="1"/>
    <col min="14853" max="14853" width="9.43809523809524" style="45" customWidth="1"/>
    <col min="14854" max="14854" width="13.552380952381" style="45" customWidth="1"/>
    <col min="14855" max="14855" width="12.8857142857143" style="45" customWidth="1"/>
    <col min="14856" max="14856" width="12.552380952381" style="45" customWidth="1"/>
    <col min="14857" max="14857" width="12.3333333333333" style="45" customWidth="1"/>
    <col min="14858" max="14858" width="15.6666666666667" style="45" customWidth="1"/>
    <col min="14859" max="14859" width="9" style="45" hidden="1" customWidth="1"/>
    <col min="14860" max="15105" width="9.1047619047619" style="45"/>
    <col min="15106" max="15106" width="6.33333333333333" style="45" customWidth="1"/>
    <col min="15107" max="15107" width="35.8857142857143" style="45" customWidth="1"/>
    <col min="15108" max="15108" width="10.8857142857143" style="45" customWidth="1"/>
    <col min="15109" max="15109" width="9.43809523809524" style="45" customWidth="1"/>
    <col min="15110" max="15110" width="13.552380952381" style="45" customWidth="1"/>
    <col min="15111" max="15111" width="12.8857142857143" style="45" customWidth="1"/>
    <col min="15112" max="15112" width="12.552380952381" style="45" customWidth="1"/>
    <col min="15113" max="15113" width="12.3333333333333" style="45" customWidth="1"/>
    <col min="15114" max="15114" width="15.6666666666667" style="45" customWidth="1"/>
    <col min="15115" max="15115" width="9" style="45" hidden="1" customWidth="1"/>
    <col min="15116" max="15361" width="9.1047619047619" style="45"/>
    <col min="15362" max="15362" width="6.33333333333333" style="45" customWidth="1"/>
    <col min="15363" max="15363" width="35.8857142857143" style="45" customWidth="1"/>
    <col min="15364" max="15364" width="10.8857142857143" style="45" customWidth="1"/>
    <col min="15365" max="15365" width="9.43809523809524" style="45" customWidth="1"/>
    <col min="15366" max="15366" width="13.552380952381" style="45" customWidth="1"/>
    <col min="15367" max="15367" width="12.8857142857143" style="45" customWidth="1"/>
    <col min="15368" max="15368" width="12.552380952381" style="45" customWidth="1"/>
    <col min="15369" max="15369" width="12.3333333333333" style="45" customWidth="1"/>
    <col min="15370" max="15370" width="15.6666666666667" style="45" customWidth="1"/>
    <col min="15371" max="15371" width="9" style="45" hidden="1" customWidth="1"/>
    <col min="15372" max="15617" width="9.1047619047619" style="45"/>
    <col min="15618" max="15618" width="6.33333333333333" style="45" customWidth="1"/>
    <col min="15619" max="15619" width="35.8857142857143" style="45" customWidth="1"/>
    <col min="15620" max="15620" width="10.8857142857143" style="45" customWidth="1"/>
    <col min="15621" max="15621" width="9.43809523809524" style="45" customWidth="1"/>
    <col min="15622" max="15622" width="13.552380952381" style="45" customWidth="1"/>
    <col min="15623" max="15623" width="12.8857142857143" style="45" customWidth="1"/>
    <col min="15624" max="15624" width="12.552380952381" style="45" customWidth="1"/>
    <col min="15625" max="15625" width="12.3333333333333" style="45" customWidth="1"/>
    <col min="15626" max="15626" width="15.6666666666667" style="45" customWidth="1"/>
    <col min="15627" max="15627" width="9" style="45" hidden="1" customWidth="1"/>
    <col min="15628" max="15873" width="9.1047619047619" style="45"/>
    <col min="15874" max="15874" width="6.33333333333333" style="45" customWidth="1"/>
    <col min="15875" max="15875" width="35.8857142857143" style="45" customWidth="1"/>
    <col min="15876" max="15876" width="10.8857142857143" style="45" customWidth="1"/>
    <col min="15877" max="15877" width="9.43809523809524" style="45" customWidth="1"/>
    <col min="15878" max="15878" width="13.552380952381" style="45" customWidth="1"/>
    <col min="15879" max="15879" width="12.8857142857143" style="45" customWidth="1"/>
    <col min="15880" max="15880" width="12.552380952381" style="45" customWidth="1"/>
    <col min="15881" max="15881" width="12.3333333333333" style="45" customWidth="1"/>
    <col min="15882" max="15882" width="15.6666666666667" style="45" customWidth="1"/>
    <col min="15883" max="15883" width="9" style="45" hidden="1" customWidth="1"/>
    <col min="15884" max="16129" width="9.1047619047619" style="45"/>
    <col min="16130" max="16130" width="6.33333333333333" style="45" customWidth="1"/>
    <col min="16131" max="16131" width="35.8857142857143" style="45" customWidth="1"/>
    <col min="16132" max="16132" width="10.8857142857143" style="45" customWidth="1"/>
    <col min="16133" max="16133" width="9.43809523809524" style="45" customWidth="1"/>
    <col min="16134" max="16134" width="13.552380952381" style="45" customWidth="1"/>
    <col min="16135" max="16135" width="12.8857142857143" style="45" customWidth="1"/>
    <col min="16136" max="16136" width="12.552380952381" style="45" customWidth="1"/>
    <col min="16137" max="16137" width="12.3333333333333" style="45" customWidth="1"/>
    <col min="16138" max="16138" width="15.6666666666667" style="45" customWidth="1"/>
    <col min="16139" max="16139" width="9" style="45" hidden="1" customWidth="1"/>
    <col min="16140" max="16384" width="9.1047619047619" style="45"/>
  </cols>
  <sheetData>
    <row r="1" spans="1:10">
      <c r="A1" s="45" t="s">
        <v>0</v>
      </c>
      <c r="C1" s="50" t="s">
        <v>1</v>
      </c>
      <c r="D1" s="45"/>
      <c r="F1" s="45"/>
      <c r="G1" s="45"/>
      <c r="H1" s="45" t="s">
        <v>2</v>
      </c>
      <c r="I1" s="45"/>
      <c r="J1" s="50" t="s">
        <v>3</v>
      </c>
    </row>
    <row r="2" spans="1:10">
      <c r="A2" s="45" t="s">
        <v>4</v>
      </c>
      <c r="C2" s="50" t="s">
        <v>5</v>
      </c>
      <c r="D2" s="45"/>
      <c r="G2" s="45"/>
      <c r="H2" s="45" t="s">
        <v>6</v>
      </c>
      <c r="I2" s="45"/>
      <c r="J2" s="111">
        <f>'Rera Sold units'!N2</f>
        <v>45394</v>
      </c>
    </row>
    <row r="3" spans="1:10">
      <c r="A3" s="45" t="s">
        <v>7</v>
      </c>
      <c r="C3" s="45"/>
      <c r="D3" s="45"/>
      <c r="F3" s="45"/>
      <c r="H3" s="45" t="s">
        <v>8</v>
      </c>
      <c r="I3" s="45"/>
      <c r="J3" s="50" t="str">
        <f>'Rera Sold units'!N3</f>
        <v>Apr-23 to Mar-24</v>
      </c>
    </row>
    <row r="4" s="50" customFormat="1" spans="3:10">
      <c r="C4" s="104"/>
      <c r="D4" s="104"/>
      <c r="E4" s="104"/>
      <c r="J4" s="104" t="s">
        <v>9</v>
      </c>
    </row>
    <row r="5" spans="1:10">
      <c r="A5" s="105" t="s">
        <v>10</v>
      </c>
      <c r="B5" s="105" t="s">
        <v>11</v>
      </c>
      <c r="C5" s="106" t="s">
        <v>12</v>
      </c>
      <c r="D5" s="106" t="s">
        <v>13</v>
      </c>
      <c r="E5" s="106" t="s">
        <v>14</v>
      </c>
      <c r="F5" s="106" t="s">
        <v>15</v>
      </c>
      <c r="G5" s="106" t="s">
        <v>16</v>
      </c>
      <c r="H5" s="106" t="s">
        <v>17</v>
      </c>
      <c r="I5" s="106" t="s">
        <v>18</v>
      </c>
      <c r="J5" s="112" t="s">
        <v>19</v>
      </c>
    </row>
    <row r="6" spans="1:10">
      <c r="A6" s="46">
        <v>1</v>
      </c>
      <c r="B6" s="50" t="s">
        <v>20</v>
      </c>
      <c r="C6" s="107"/>
      <c r="D6" s="107"/>
      <c r="E6" s="107"/>
      <c r="F6" s="107"/>
      <c r="G6" s="107"/>
      <c r="H6" s="107"/>
      <c r="I6" s="107"/>
      <c r="J6" s="113"/>
    </row>
    <row r="7" spans="1:11">
      <c r="A7" s="46">
        <v>2</v>
      </c>
      <c r="B7" s="50" t="s">
        <v>21</v>
      </c>
      <c r="C7" s="103">
        <v>0</v>
      </c>
      <c r="D7" s="103">
        <v>0</v>
      </c>
      <c r="E7" s="66">
        <f>'Rera Sold units'!K184*100/105</f>
        <v>63760873.3333333</v>
      </c>
      <c r="F7" s="66">
        <f>'Rera Sold units'!L184*100/105</f>
        <v>144149198.095238</v>
      </c>
      <c r="G7" s="66">
        <f>'Rera Sold units'!M184*100/105</f>
        <v>353216859.809524</v>
      </c>
      <c r="H7" s="66">
        <f>'Rera Sold units'!N184*100/105</f>
        <v>287512805.714286</v>
      </c>
      <c r="I7" s="66">
        <f>'Rera Sold units'!O184*100/105</f>
        <v>286896950.057143</v>
      </c>
      <c r="J7" s="114">
        <f>SUM(C7:I7)</f>
        <v>1135536687.00952</v>
      </c>
      <c r="K7" s="69"/>
    </row>
    <row r="8" spans="1:11">
      <c r="A8" s="46">
        <v>3</v>
      </c>
      <c r="B8" s="50" t="s">
        <v>22</v>
      </c>
      <c r="C8" s="103">
        <v>0</v>
      </c>
      <c r="D8" s="103">
        <v>0</v>
      </c>
      <c r="E8" s="66">
        <v>100000</v>
      </c>
      <c r="F8" s="103">
        <v>0</v>
      </c>
      <c r="G8" s="103">
        <v>0</v>
      </c>
      <c r="H8" s="103">
        <v>0</v>
      </c>
      <c r="I8" s="103">
        <v>0</v>
      </c>
      <c r="J8" s="66">
        <v>100000</v>
      </c>
      <c r="K8" s="69"/>
    </row>
    <row r="9" spans="1:14">
      <c r="A9" s="46">
        <v>4</v>
      </c>
      <c r="B9" s="50" t="s">
        <v>23</v>
      </c>
      <c r="C9" s="103">
        <v>0</v>
      </c>
      <c r="D9" s="103">
        <v>0</v>
      </c>
      <c r="E9" s="103">
        <v>0</v>
      </c>
      <c r="F9" s="103">
        <v>0</v>
      </c>
      <c r="G9" s="103">
        <v>0</v>
      </c>
      <c r="H9" s="103">
        <v>0</v>
      </c>
      <c r="I9" s="66">
        <f>'Promotors contribution'!D81+'Promotors contribution'!H81</f>
        <v>1671966.3</v>
      </c>
      <c r="J9" s="114">
        <f>SUM(C9:I9)</f>
        <v>1671966.3</v>
      </c>
      <c r="K9" s="69"/>
      <c r="N9" s="69"/>
    </row>
    <row r="10" spans="1:11">
      <c r="A10" s="46">
        <v>5</v>
      </c>
      <c r="B10" s="50" t="s">
        <v>24</v>
      </c>
      <c r="C10" s="107">
        <v>0</v>
      </c>
      <c r="D10" s="107">
        <v>0</v>
      </c>
      <c r="E10" s="66">
        <f>'[1]Loan details'!D7</f>
        <v>45000000</v>
      </c>
      <c r="F10" s="66">
        <v>0</v>
      </c>
      <c r="G10" s="107">
        <v>70000000</v>
      </c>
      <c r="H10" s="107">
        <v>0</v>
      </c>
      <c r="I10" s="107">
        <f>'Loan details'!D9</f>
        <v>80000000</v>
      </c>
      <c r="J10" s="114">
        <f>E10+G10+I10</f>
        <v>195000000</v>
      </c>
      <c r="K10" s="69"/>
    </row>
    <row r="11" spans="1:10">
      <c r="A11" s="46">
        <v>6</v>
      </c>
      <c r="B11" s="108" t="s">
        <v>25</v>
      </c>
      <c r="C11" s="109">
        <f t="shared" ref="C11:J11" si="0">SUM(C7:C10)</f>
        <v>0</v>
      </c>
      <c r="D11" s="109">
        <f t="shared" si="0"/>
        <v>0</v>
      </c>
      <c r="E11" s="110">
        <f t="shared" si="0"/>
        <v>108860873.333333</v>
      </c>
      <c r="F11" s="110">
        <f t="shared" si="0"/>
        <v>144149198.095238</v>
      </c>
      <c r="G11" s="110">
        <f t="shared" si="0"/>
        <v>423216859.809524</v>
      </c>
      <c r="H11" s="110">
        <f t="shared" si="0"/>
        <v>287512805.714286</v>
      </c>
      <c r="I11" s="110">
        <f>SUM(I6:I10)</f>
        <v>368568916.357143</v>
      </c>
      <c r="J11" s="110">
        <f t="shared" si="0"/>
        <v>1332308653.30952</v>
      </c>
    </row>
    <row r="12" spans="1:2">
      <c r="A12" s="46">
        <v>7</v>
      </c>
      <c r="B12" s="50" t="s">
        <v>26</v>
      </c>
    </row>
    <row r="13" spans="1:10">
      <c r="A13" s="46">
        <v>8</v>
      </c>
      <c r="B13" s="50" t="s">
        <v>27</v>
      </c>
      <c r="C13" s="66">
        <v>0</v>
      </c>
      <c r="D13" s="66">
        <v>0</v>
      </c>
      <c r="E13" s="66">
        <v>0</v>
      </c>
      <c r="F13" s="66">
        <f>'[1]Project cost &amp; estimates'!H6</f>
        <v>0</v>
      </c>
      <c r="G13" s="66">
        <f>'[1]Project cost &amp; estimates'!I6</f>
        <v>0</v>
      </c>
      <c r="H13" s="66">
        <v>0</v>
      </c>
      <c r="I13" s="66">
        <f t="shared" ref="I13" si="1">SUM(C13:H13)</f>
        <v>0</v>
      </c>
      <c r="J13" s="115">
        <f t="shared" ref="J13" si="2">SUM(C13:H13)</f>
        <v>0</v>
      </c>
    </row>
    <row r="14" spans="1:11">
      <c r="A14" s="46">
        <v>9</v>
      </c>
      <c r="B14" s="50" t="s">
        <v>28</v>
      </c>
      <c r="C14" s="66">
        <f>'[1]Admin Exp'!C65</f>
        <v>3000000</v>
      </c>
      <c r="D14" s="66">
        <f>'[1]Admin Exp'!D65</f>
        <v>1925000</v>
      </c>
      <c r="E14" s="66">
        <f>'[1]Admin Exp'!E65</f>
        <v>10089400</v>
      </c>
      <c r="F14" s="66">
        <f>'[1]Admin Exp'!F65</f>
        <v>0</v>
      </c>
      <c r="G14" s="66">
        <v>0</v>
      </c>
      <c r="H14" s="66">
        <v>0</v>
      </c>
      <c r="I14" s="66">
        <v>0</v>
      </c>
      <c r="J14" s="115">
        <f>SUM(C14:I14)</f>
        <v>15014400</v>
      </c>
      <c r="K14" s="69"/>
    </row>
    <row r="15" spans="1:11">
      <c r="A15" s="46">
        <v>10</v>
      </c>
      <c r="B15" s="50" t="s">
        <v>29</v>
      </c>
      <c r="C15" s="66">
        <f>'[1]Project cost &amp; estimates'!E7</f>
        <v>4524518</v>
      </c>
      <c r="D15" s="66">
        <f>'[1]Project cost &amp; estimates'!F7</f>
        <v>811817</v>
      </c>
      <c r="E15" s="66">
        <v>38669662</v>
      </c>
      <c r="F15" s="66">
        <f>'[1]Project cost &amp; estimates'!H7</f>
        <v>740000</v>
      </c>
      <c r="G15" s="66">
        <f>'[1]Project cost &amp; estimates'!I7</f>
        <v>6216483</v>
      </c>
      <c r="H15" s="66">
        <v>0</v>
      </c>
      <c r="I15" s="66">
        <v>0</v>
      </c>
      <c r="J15" s="115">
        <f>SUM(C15:I15)</f>
        <v>50962480</v>
      </c>
      <c r="K15" s="69"/>
    </row>
    <row r="16" spans="1:12">
      <c r="A16" s="46">
        <v>11</v>
      </c>
      <c r="B16" s="50" t="s">
        <v>30</v>
      </c>
      <c r="C16" s="66">
        <f>'[1]Project cost &amp; estimates'!E10</f>
        <v>590</v>
      </c>
      <c r="D16" s="66">
        <f>'[1]Project cost &amp; estimates'!F10</f>
        <v>3779.59</v>
      </c>
      <c r="E16" s="66">
        <f>5187332.84</f>
        <v>5187332.84</v>
      </c>
      <c r="F16" s="66">
        <f>'[1]Project cost &amp; estimates'!H10</f>
        <v>5949.56</v>
      </c>
      <c r="G16" s="66">
        <v>78984</v>
      </c>
      <c r="H16" s="66">
        <v>153685.53</v>
      </c>
      <c r="I16" s="66">
        <f>120844.42</f>
        <v>120844.42</v>
      </c>
      <c r="J16" s="115">
        <f t="shared" ref="J16:J20" si="3">SUM(C16:I16)</f>
        <v>5551165.94</v>
      </c>
      <c r="K16" s="69"/>
      <c r="L16" s="69"/>
    </row>
    <row r="17" spans="1:11">
      <c r="A17" s="46">
        <v>12</v>
      </c>
      <c r="B17" s="50" t="s">
        <v>31</v>
      </c>
      <c r="C17" s="66">
        <f>'[1]Project cost &amp; estimates'!E9</f>
        <v>138030</v>
      </c>
      <c r="D17" s="66">
        <f>'[1]Project cost &amp; estimates'!F9</f>
        <v>1088163.17</v>
      </c>
      <c r="E17" s="66">
        <f>7762290.57</f>
        <v>7762290.57</v>
      </c>
      <c r="F17" s="66">
        <f>'[1]Project cost &amp; estimates'!H9</f>
        <v>9733219.33</v>
      </c>
      <c r="G17" s="66">
        <v>13238833</v>
      </c>
      <c r="H17" s="66">
        <v>15983952.34</v>
      </c>
      <c r="I17" s="66">
        <v>17301823.35</v>
      </c>
      <c r="J17" s="115">
        <f t="shared" si="3"/>
        <v>65246311.76</v>
      </c>
      <c r="K17" s="69"/>
    </row>
    <row r="18" spans="1:11">
      <c r="A18" s="46">
        <v>13</v>
      </c>
      <c r="B18" s="50" t="s">
        <v>32</v>
      </c>
      <c r="C18" s="66">
        <f>'[1]Project cost &amp; estimates'!E8+'[1]Project cost &amp; estimates'!D8</f>
        <v>5568146</v>
      </c>
      <c r="D18" s="66">
        <f>'[1]Project cost &amp; estimates'!F8</f>
        <v>1442732</v>
      </c>
      <c r="E18" s="66">
        <f>'[1]Project cost &amp; estimates'!G8</f>
        <v>40884223.45</v>
      </c>
      <c r="F18" s="66">
        <f>115661073.17-740000-58419</f>
        <v>114862654.17</v>
      </c>
      <c r="G18" s="66">
        <f>326509952.45-314376624.93-G15+312478101.53</f>
        <v>318394946.05</v>
      </c>
      <c r="H18" s="66">
        <f>303493505.26-2871238.95-H15+51590</f>
        <v>300673856.31</v>
      </c>
      <c r="I18" s="66">
        <v>202501340.43</v>
      </c>
      <c r="J18" s="115">
        <f t="shared" si="3"/>
        <v>984327898.41</v>
      </c>
      <c r="K18" s="69"/>
    </row>
    <row r="19" spans="1:11">
      <c r="A19" s="46">
        <v>14</v>
      </c>
      <c r="B19" s="50" t="s">
        <v>33</v>
      </c>
      <c r="C19" s="66">
        <v>0</v>
      </c>
      <c r="D19" s="66">
        <v>0</v>
      </c>
      <c r="E19" s="66">
        <f>'[1]Loan details'!E7</f>
        <v>8223459</v>
      </c>
      <c r="F19" s="66">
        <f>'[1]Loan details'!F7</f>
        <v>14182165.95</v>
      </c>
      <c r="G19" s="66">
        <f>'[1]Loan details'!G10</f>
        <v>60766530</v>
      </c>
      <c r="H19" s="66">
        <f>'Loan details'!H11</f>
        <v>31995169.88</v>
      </c>
      <c r="I19" s="66">
        <f>'Loan details'!I11</f>
        <v>20421717.16</v>
      </c>
      <c r="J19" s="115">
        <f t="shared" si="3"/>
        <v>135589041.99</v>
      </c>
      <c r="K19" s="69"/>
    </row>
    <row r="20" spans="1:10">
      <c r="A20" s="46">
        <v>15</v>
      </c>
      <c r="B20" s="50" t="s">
        <v>34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f>12658751+40822657.38</f>
        <v>53481408.38</v>
      </c>
      <c r="J20" s="115">
        <f t="shared" si="3"/>
        <v>53481408.38</v>
      </c>
    </row>
    <row r="21" spans="1:10">
      <c r="A21" s="46">
        <v>16</v>
      </c>
      <c r="B21" s="108" t="s">
        <v>19</v>
      </c>
      <c r="C21" s="110">
        <f t="shared" ref="C21:J21" si="4">SUM(C13:C20)</f>
        <v>13231284</v>
      </c>
      <c r="D21" s="110">
        <f t="shared" si="4"/>
        <v>5271491.76</v>
      </c>
      <c r="E21" s="110">
        <f t="shared" si="4"/>
        <v>110816367.86</v>
      </c>
      <c r="F21" s="110">
        <f t="shared" si="4"/>
        <v>139523989.01</v>
      </c>
      <c r="G21" s="110">
        <f t="shared" si="4"/>
        <v>398695776.05</v>
      </c>
      <c r="H21" s="110">
        <f t="shared" si="4"/>
        <v>348806664.06</v>
      </c>
      <c r="I21" s="110">
        <f t="shared" si="4"/>
        <v>293827133.74</v>
      </c>
      <c r="J21" s="110">
        <f t="shared" si="4"/>
        <v>1310172706.48</v>
      </c>
    </row>
    <row r="22" spans="10:10">
      <c r="J22" s="66">
        <f>J11-J21</f>
        <v>22135946.8295236</v>
      </c>
    </row>
  </sheetData>
  <printOptions gridLines="1"/>
  <pageMargins left="0.491666666666667" right="0.295138888888889" top="0.751388888888889" bottom="0.751388888888889" header="0.298611111111111" footer="0.298611111111111"/>
  <pageSetup paperSize="9" orientation="landscape"/>
  <headerFooter/>
  <ignoredErrors>
    <ignoredError sqref="I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K28"/>
  <sheetViews>
    <sheetView workbookViewId="0">
      <selection activeCell="G23" sqref="G23"/>
    </sheetView>
  </sheetViews>
  <sheetFormatPr defaultColWidth="9" defaultRowHeight="15"/>
  <cols>
    <col min="4" max="4" width="13.1047619047619" customWidth="1"/>
    <col min="5" max="6" width="14" customWidth="1"/>
    <col min="7" max="7" width="15.1047619047619" customWidth="1"/>
    <col min="8" max="8" width="13.6666666666667" customWidth="1"/>
    <col min="11" max="11" width="13.4380952380952" customWidth="1"/>
  </cols>
  <sheetData>
    <row r="3" ht="15.75"/>
    <row r="4" spans="3:8">
      <c r="C4" s="70" t="s">
        <v>35</v>
      </c>
      <c r="D4" s="70" t="s">
        <v>36</v>
      </c>
      <c r="E4" s="70" t="s">
        <v>37</v>
      </c>
      <c r="F4" s="70" t="s">
        <v>38</v>
      </c>
      <c r="G4" s="71" t="s">
        <v>39</v>
      </c>
      <c r="H4" s="70" t="s">
        <v>40</v>
      </c>
    </row>
    <row r="5" ht="15.75" spans="3:8">
      <c r="C5" s="72"/>
      <c r="D5" s="72"/>
      <c r="E5" s="72"/>
      <c r="F5" s="72"/>
      <c r="G5" s="73"/>
      <c r="H5" s="72"/>
    </row>
    <row r="6" ht="15.75" spans="3:8">
      <c r="C6" s="72">
        <v>1</v>
      </c>
      <c r="D6" s="74" t="s">
        <v>41</v>
      </c>
      <c r="E6" s="75">
        <v>50962480</v>
      </c>
      <c r="F6" s="75"/>
      <c r="G6" s="75">
        <f>Workings!J15</f>
        <v>50962480</v>
      </c>
      <c r="H6" s="76" t="s">
        <v>42</v>
      </c>
    </row>
    <row r="7" ht="45" customHeight="1" spans="3:8">
      <c r="C7" s="72">
        <v>2</v>
      </c>
      <c r="D7" s="74" t="s">
        <v>43</v>
      </c>
      <c r="E7" s="75">
        <v>15014400</v>
      </c>
      <c r="F7" s="76" t="s">
        <v>42</v>
      </c>
      <c r="G7" s="75">
        <f>Workings!J14</f>
        <v>15014400</v>
      </c>
      <c r="H7" s="76" t="s">
        <v>42</v>
      </c>
    </row>
    <row r="8" spans="3:8">
      <c r="C8" s="70">
        <v>3</v>
      </c>
      <c r="D8" s="77" t="s">
        <v>44</v>
      </c>
      <c r="E8" s="78">
        <v>923026000</v>
      </c>
      <c r="F8" s="70" t="s">
        <v>42</v>
      </c>
      <c r="G8" s="78">
        <f>Workings!J18</f>
        <v>984327898.41</v>
      </c>
      <c r="H8" s="79">
        <f>E8-G8</f>
        <v>-61301898.4100001</v>
      </c>
    </row>
    <row r="9" spans="3:8">
      <c r="C9" s="80"/>
      <c r="D9" s="81"/>
      <c r="E9" s="82"/>
      <c r="F9" s="80"/>
      <c r="G9" s="82"/>
      <c r="H9" s="83"/>
    </row>
    <row r="10" ht="15.75" spans="3:8">
      <c r="C10" s="72"/>
      <c r="D10" s="84"/>
      <c r="E10" s="85"/>
      <c r="F10" s="72"/>
      <c r="G10" s="85"/>
      <c r="H10" s="86"/>
    </row>
    <row r="11" spans="3:8">
      <c r="C11" s="70">
        <v>4</v>
      </c>
      <c r="D11" s="70" t="s">
        <v>45</v>
      </c>
      <c r="E11" s="78">
        <v>12434922</v>
      </c>
      <c r="F11" s="87" t="s">
        <v>42</v>
      </c>
      <c r="G11" s="78">
        <f>Workings!J16</f>
        <v>5551165.94</v>
      </c>
      <c r="H11" s="79">
        <f>E11-G11</f>
        <v>6883756.06</v>
      </c>
    </row>
    <row r="12" spans="3:8">
      <c r="C12" s="80"/>
      <c r="D12" s="80"/>
      <c r="E12" s="82"/>
      <c r="F12" s="88"/>
      <c r="G12" s="82"/>
      <c r="H12" s="83"/>
    </row>
    <row r="13" ht="15.75" spans="3:8">
      <c r="C13" s="72"/>
      <c r="D13" s="72"/>
      <c r="E13" s="85"/>
      <c r="F13" s="89"/>
      <c r="G13" s="85"/>
      <c r="H13" s="86"/>
    </row>
    <row r="14" spans="3:8">
      <c r="C14" s="70">
        <v>5</v>
      </c>
      <c r="D14" s="90" t="s">
        <v>46</v>
      </c>
      <c r="E14" s="78">
        <v>40158000</v>
      </c>
      <c r="F14" s="91">
        <f>G14-E14</f>
        <v>25088311.76</v>
      </c>
      <c r="G14" s="79">
        <f>Workings!J17</f>
        <v>65246311.76</v>
      </c>
      <c r="H14" s="71" t="s">
        <v>42</v>
      </c>
    </row>
    <row r="15" ht="15.75" spans="3:8">
      <c r="C15" s="72"/>
      <c r="D15" s="92"/>
      <c r="E15" s="85"/>
      <c r="F15" s="93"/>
      <c r="G15" s="86"/>
      <c r="H15" s="73"/>
    </row>
    <row r="16" spans="3:8">
      <c r="C16" s="70">
        <v>6</v>
      </c>
      <c r="D16" s="90" t="s">
        <v>47</v>
      </c>
      <c r="E16" s="78">
        <v>115000000</v>
      </c>
      <c r="F16" s="78">
        <v>50000000</v>
      </c>
      <c r="G16" s="78">
        <f>Workings!J19</f>
        <v>135589041.99</v>
      </c>
      <c r="H16" s="70" t="s">
        <v>42</v>
      </c>
    </row>
    <row r="17" ht="15.75" spans="3:8">
      <c r="C17" s="72"/>
      <c r="D17" s="92"/>
      <c r="E17" s="85"/>
      <c r="F17" s="85"/>
      <c r="G17" s="85"/>
      <c r="H17" s="72"/>
    </row>
    <row r="18" ht="57.75" customHeight="1" spans="3:8">
      <c r="C18" s="72">
        <v>7</v>
      </c>
      <c r="D18" s="74" t="s">
        <v>48</v>
      </c>
      <c r="E18" s="76" t="s">
        <v>42</v>
      </c>
      <c r="F18" s="76" t="s">
        <v>42</v>
      </c>
      <c r="G18" s="75">
        <f>Workings!J20</f>
        <v>53481408.38</v>
      </c>
      <c r="H18" s="76" t="s">
        <v>42</v>
      </c>
    </row>
    <row r="19" ht="15.75" spans="3:8">
      <c r="C19" s="92"/>
      <c r="D19" s="94" t="s">
        <v>19</v>
      </c>
      <c r="E19" s="95">
        <f>SUM(E6:E18)</f>
        <v>1156595802</v>
      </c>
      <c r="F19" s="95">
        <f>SUM(F14:F18)</f>
        <v>75088311.76</v>
      </c>
      <c r="G19" s="96">
        <f>SUM(G6:G18)</f>
        <v>1310172706.48</v>
      </c>
      <c r="H19" s="96">
        <f>SUM(H8:H18)</f>
        <v>-54418142.3500001</v>
      </c>
    </row>
    <row r="20" ht="30.75" spans="3:8">
      <c r="C20" s="92"/>
      <c r="D20" s="97" t="s">
        <v>49</v>
      </c>
      <c r="E20" s="98"/>
      <c r="F20" s="76"/>
      <c r="G20" s="76"/>
      <c r="H20" s="76"/>
    </row>
    <row r="21" ht="31.5" customHeight="1" spans="3:8">
      <c r="C21" s="72">
        <v>1</v>
      </c>
      <c r="D21" s="74" t="s">
        <v>50</v>
      </c>
      <c r="E21" s="76" t="s">
        <v>42</v>
      </c>
      <c r="F21" s="76" t="s">
        <v>42</v>
      </c>
      <c r="G21" s="99">
        <f>Workings!J7</f>
        <v>1135536687.00952</v>
      </c>
      <c r="H21" s="76" t="s">
        <v>42</v>
      </c>
    </row>
    <row r="22" ht="27" customHeight="1" spans="3:8">
      <c r="C22" s="72">
        <v>2</v>
      </c>
      <c r="D22" s="74" t="s">
        <v>51</v>
      </c>
      <c r="E22" s="76" t="s">
        <v>42</v>
      </c>
      <c r="F22" s="76" t="s">
        <v>42</v>
      </c>
      <c r="G22" s="99">
        <f>Workings!J10</f>
        <v>195000000</v>
      </c>
      <c r="H22" s="76" t="s">
        <v>42</v>
      </c>
    </row>
    <row r="23" ht="90.75" spans="3:8">
      <c r="C23" s="72">
        <v>3</v>
      </c>
      <c r="D23" s="74" t="s">
        <v>52</v>
      </c>
      <c r="E23" s="76" t="s">
        <v>42</v>
      </c>
      <c r="F23" s="76" t="s">
        <v>42</v>
      </c>
      <c r="G23" s="99">
        <v>23645549</v>
      </c>
      <c r="H23" s="76" t="s">
        <v>42</v>
      </c>
    </row>
    <row r="24" ht="15.75" spans="3:8">
      <c r="C24" s="92"/>
      <c r="D24" s="100" t="s">
        <v>19</v>
      </c>
      <c r="E24" s="76" t="s">
        <v>42</v>
      </c>
      <c r="F24" s="76" t="s">
        <v>42</v>
      </c>
      <c r="G24" s="101">
        <f>SUM(G21:G23)</f>
        <v>1354182236.00952</v>
      </c>
      <c r="H24" s="76" t="s">
        <v>42</v>
      </c>
    </row>
    <row r="25" spans="11:11">
      <c r="K25" s="102"/>
    </row>
    <row r="26" spans="11:11">
      <c r="K26" s="102"/>
    </row>
    <row r="28" spans="11:11">
      <c r="K28" s="102">
        <f>K26-K25</f>
        <v>0</v>
      </c>
    </row>
  </sheetData>
  <mergeCells count="30">
    <mergeCell ref="C4:C5"/>
    <mergeCell ref="C8:C10"/>
    <mergeCell ref="C11:C13"/>
    <mergeCell ref="C14:C15"/>
    <mergeCell ref="C16:C17"/>
    <mergeCell ref="D4:D5"/>
    <mergeCell ref="D8:D10"/>
    <mergeCell ref="D11:D13"/>
    <mergeCell ref="D14:D15"/>
    <mergeCell ref="D16:D17"/>
    <mergeCell ref="E4:E5"/>
    <mergeCell ref="E8:E10"/>
    <mergeCell ref="E11:E13"/>
    <mergeCell ref="E14:E15"/>
    <mergeCell ref="E16:E17"/>
    <mergeCell ref="F4:F5"/>
    <mergeCell ref="F8:F10"/>
    <mergeCell ref="F11:F13"/>
    <mergeCell ref="F14:F15"/>
    <mergeCell ref="F16:F17"/>
    <mergeCell ref="G4:G5"/>
    <mergeCell ref="G8:G10"/>
    <mergeCell ref="G11:G13"/>
    <mergeCell ref="G14:G15"/>
    <mergeCell ref="G16:G17"/>
    <mergeCell ref="H4:H5"/>
    <mergeCell ref="H8:H10"/>
    <mergeCell ref="H11:H13"/>
    <mergeCell ref="H14:H15"/>
    <mergeCell ref="H16:H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9"/>
  <sheetViews>
    <sheetView workbookViewId="0">
      <selection activeCell="N4" sqref="N4"/>
    </sheetView>
  </sheetViews>
  <sheetFormatPr defaultColWidth="9.1047619047619" defaultRowHeight="12.75"/>
  <cols>
    <col min="1" max="1" width="4.66666666666667" style="45" customWidth="1"/>
    <col min="2" max="2" width="5.66666666666667" style="45" customWidth="1"/>
    <col min="3" max="3" width="7.66666666666667" style="46" customWidth="1"/>
    <col min="4" max="4" width="5.66666666666667" style="47" customWidth="1"/>
    <col min="5" max="5" width="30.6666666666667" style="47" customWidth="1"/>
    <col min="6" max="6" width="10.1047619047619" style="48" customWidth="1"/>
    <col min="7" max="7" width="11.6666666666667" style="45" customWidth="1"/>
    <col min="8" max="8" width="8.43809523809524" style="47" hidden="1" customWidth="1"/>
    <col min="9" max="9" width="8" style="47" hidden="1" customWidth="1"/>
    <col min="10" max="10" width="10" style="47" customWidth="1"/>
    <col min="11" max="11" width="10.6666666666667" style="47" customWidth="1"/>
    <col min="12" max="15" width="10.6666666666667" style="45" customWidth="1"/>
    <col min="16" max="17" width="11.6666666666667" style="45" customWidth="1"/>
    <col min="18" max="16384" width="9.1047619047619" style="45"/>
  </cols>
  <sheetData>
    <row r="1" spans="1:14">
      <c r="A1" s="45" t="s">
        <v>0</v>
      </c>
      <c r="D1" s="49"/>
      <c r="E1" s="50" t="s">
        <v>1</v>
      </c>
      <c r="H1" s="45"/>
      <c r="I1" s="49"/>
      <c r="J1" s="49"/>
      <c r="L1" s="45" t="s">
        <v>2</v>
      </c>
      <c r="N1" s="50" t="s">
        <v>3</v>
      </c>
    </row>
    <row r="2" spans="1:14">
      <c r="A2" s="45" t="s">
        <v>4</v>
      </c>
      <c r="D2" s="49"/>
      <c r="E2" s="50" t="s">
        <v>5</v>
      </c>
      <c r="H2" s="45"/>
      <c r="I2" s="49"/>
      <c r="J2" s="49"/>
      <c r="L2" s="45" t="s">
        <v>6</v>
      </c>
      <c r="N2" s="57">
        <v>45394</v>
      </c>
    </row>
    <row r="3" spans="1:14">
      <c r="A3" s="45" t="s">
        <v>53</v>
      </c>
      <c r="D3" s="49"/>
      <c r="E3" s="51"/>
      <c r="H3" s="45"/>
      <c r="I3" s="49"/>
      <c r="J3" s="49"/>
      <c r="L3" s="45" t="s">
        <v>8</v>
      </c>
      <c r="N3" s="50" t="s">
        <v>54</v>
      </c>
    </row>
    <row r="4" spans="4:11">
      <c r="D4" s="49"/>
      <c r="E4" s="49"/>
      <c r="F4" s="52"/>
      <c r="H4" s="49"/>
      <c r="I4" s="49"/>
      <c r="J4" s="49"/>
      <c r="K4" s="49"/>
    </row>
    <row r="5" s="44" customFormat="1" ht="54" customHeight="1" spans="1:17">
      <c r="A5" s="53" t="s">
        <v>55</v>
      </c>
      <c r="B5" s="53" t="s">
        <v>56</v>
      </c>
      <c r="C5" s="53" t="s">
        <v>57</v>
      </c>
      <c r="D5" s="54" t="s">
        <v>58</v>
      </c>
      <c r="E5" s="53" t="s">
        <v>59</v>
      </c>
      <c r="F5" s="55" t="s">
        <v>60</v>
      </c>
      <c r="G5" s="53" t="s">
        <v>61</v>
      </c>
      <c r="H5" s="53" t="s">
        <v>62</v>
      </c>
      <c r="I5" s="53" t="s">
        <v>63</v>
      </c>
      <c r="J5" s="53" t="s">
        <v>64</v>
      </c>
      <c r="K5" s="53" t="s">
        <v>65</v>
      </c>
      <c r="L5" s="53" t="s">
        <v>66</v>
      </c>
      <c r="M5" s="53" t="s">
        <v>67</v>
      </c>
      <c r="N5" s="53" t="s">
        <v>68</v>
      </c>
      <c r="O5" s="53" t="s">
        <v>69</v>
      </c>
      <c r="P5" s="53" t="s">
        <v>70</v>
      </c>
      <c r="Q5" s="53" t="s">
        <v>71</v>
      </c>
    </row>
    <row r="6" ht="12.9" customHeight="1" spans="1:17">
      <c r="A6" s="46">
        <v>1</v>
      </c>
      <c r="B6" s="45" t="s">
        <v>72</v>
      </c>
      <c r="C6" s="46">
        <v>1360</v>
      </c>
      <c r="D6" s="56">
        <f t="shared" ref="D6:D69" si="0">G6/C6</f>
        <v>4186.02941176471</v>
      </c>
      <c r="E6" s="45" t="s">
        <v>73</v>
      </c>
      <c r="F6" s="57">
        <v>43738</v>
      </c>
      <c r="G6" s="56">
        <v>5693000</v>
      </c>
      <c r="H6" s="49">
        <v>0</v>
      </c>
      <c r="I6" s="49">
        <v>0</v>
      </c>
      <c r="J6" s="56">
        <v>610463</v>
      </c>
      <c r="K6" s="56">
        <v>1534640</v>
      </c>
      <c r="L6" s="56">
        <v>3255300</v>
      </c>
      <c r="M6" s="56">
        <v>1500000</v>
      </c>
      <c r="N6" s="56">
        <v>13523</v>
      </c>
      <c r="O6" s="56">
        <v>0</v>
      </c>
      <c r="P6" s="56">
        <f>SUM(K6:O6)</f>
        <v>6303463</v>
      </c>
      <c r="Q6" s="56">
        <f t="shared" ref="Q6:Q69" si="1">G6+J6-P6</f>
        <v>0</v>
      </c>
    </row>
    <row r="7" ht="12.9" customHeight="1" spans="1:17">
      <c r="A7" s="46">
        <v>2</v>
      </c>
      <c r="B7" s="45" t="s">
        <v>74</v>
      </c>
      <c r="C7" s="46">
        <v>1360</v>
      </c>
      <c r="D7" s="56">
        <f t="shared" si="0"/>
        <v>4236.02941176471</v>
      </c>
      <c r="E7" s="45" t="s">
        <v>75</v>
      </c>
      <c r="F7" s="57">
        <v>43829</v>
      </c>
      <c r="G7" s="56">
        <v>5761000</v>
      </c>
      <c r="H7" s="49">
        <v>0</v>
      </c>
      <c r="I7" s="49">
        <v>0</v>
      </c>
      <c r="J7" s="56">
        <v>340024</v>
      </c>
      <c r="K7" s="56">
        <v>1531000</v>
      </c>
      <c r="L7" s="56">
        <v>3147483</v>
      </c>
      <c r="M7" s="56">
        <v>1376000</v>
      </c>
      <c r="N7" s="56">
        <v>46541</v>
      </c>
      <c r="O7" s="56">
        <v>0</v>
      </c>
      <c r="P7" s="56">
        <f t="shared" ref="P7:P38" si="2">SUM(K7:O7)</f>
        <v>6101024</v>
      </c>
      <c r="Q7" s="56">
        <f t="shared" si="1"/>
        <v>0</v>
      </c>
    </row>
    <row r="8" ht="12.9" customHeight="1" spans="1:17">
      <c r="A8" s="46">
        <v>3</v>
      </c>
      <c r="B8" s="45" t="s">
        <v>76</v>
      </c>
      <c r="C8" s="46">
        <v>1360</v>
      </c>
      <c r="D8" s="56">
        <f t="shared" si="0"/>
        <v>3985.29411764706</v>
      </c>
      <c r="E8" s="45" t="s">
        <v>77</v>
      </c>
      <c r="F8" s="57">
        <v>43717</v>
      </c>
      <c r="G8" s="56">
        <v>5420000</v>
      </c>
      <c r="H8" s="49">
        <v>0</v>
      </c>
      <c r="I8" s="49">
        <v>0</v>
      </c>
      <c r="J8" s="56">
        <v>301828</v>
      </c>
      <c r="K8" s="56">
        <v>1355000</v>
      </c>
      <c r="L8" s="56">
        <v>2250000</v>
      </c>
      <c r="M8" s="56">
        <v>2092000</v>
      </c>
      <c r="N8" s="56">
        <v>0</v>
      </c>
      <c r="O8" s="56">
        <v>24828</v>
      </c>
      <c r="P8" s="56">
        <f t="shared" si="2"/>
        <v>5721828</v>
      </c>
      <c r="Q8" s="56">
        <f t="shared" si="1"/>
        <v>0</v>
      </c>
    </row>
    <row r="9" ht="12.9" customHeight="1" spans="1:17">
      <c r="A9" s="46">
        <v>4</v>
      </c>
      <c r="B9" s="45" t="s">
        <v>78</v>
      </c>
      <c r="C9" s="46">
        <v>1360</v>
      </c>
      <c r="D9" s="56">
        <f t="shared" si="0"/>
        <v>4085.29411764706</v>
      </c>
      <c r="E9" s="45" t="s">
        <v>79</v>
      </c>
      <c r="F9" s="57">
        <v>43716</v>
      </c>
      <c r="G9" s="56">
        <v>5556000</v>
      </c>
      <c r="H9" s="49">
        <v>0</v>
      </c>
      <c r="I9" s="49">
        <v>0</v>
      </c>
      <c r="J9" s="56">
        <v>567960</v>
      </c>
      <c r="K9" s="56">
        <v>1503890</v>
      </c>
      <c r="L9" s="56">
        <f>2679400</f>
        <v>2679400</v>
      </c>
      <c r="M9" s="56">
        <f>1300000+40670</f>
        <v>1340670</v>
      </c>
      <c r="N9" s="56">
        <v>600000</v>
      </c>
      <c r="O9" s="56">
        <v>0</v>
      </c>
      <c r="P9" s="56">
        <f t="shared" si="2"/>
        <v>6123960</v>
      </c>
      <c r="Q9" s="56">
        <f t="shared" si="1"/>
        <v>0</v>
      </c>
    </row>
    <row r="10" ht="12.9" customHeight="1" spans="1:17">
      <c r="A10" s="46">
        <v>5</v>
      </c>
      <c r="B10" s="45" t="s">
        <v>80</v>
      </c>
      <c r="C10" s="46">
        <v>1360</v>
      </c>
      <c r="D10" s="56">
        <f t="shared" si="0"/>
        <v>3524.26470588235</v>
      </c>
      <c r="E10" s="45" t="s">
        <v>81</v>
      </c>
      <c r="F10" s="57">
        <v>43758</v>
      </c>
      <c r="G10" s="56">
        <v>4793000</v>
      </c>
      <c r="H10" s="49">
        <v>0</v>
      </c>
      <c r="I10" s="49">
        <v>0</v>
      </c>
      <c r="J10" s="56">
        <v>284116</v>
      </c>
      <c r="K10" s="56">
        <v>620000</v>
      </c>
      <c r="L10" s="56">
        <v>3090000</v>
      </c>
      <c r="M10" s="56">
        <v>1328650</v>
      </c>
      <c r="N10" s="56">
        <v>38466</v>
      </c>
      <c r="O10" s="56">
        <v>0</v>
      </c>
      <c r="P10" s="56">
        <f t="shared" si="2"/>
        <v>5077116</v>
      </c>
      <c r="Q10" s="56">
        <f t="shared" si="1"/>
        <v>0</v>
      </c>
    </row>
    <row r="11" ht="12.9" customHeight="1" spans="1:17">
      <c r="A11" s="46">
        <v>6</v>
      </c>
      <c r="B11" s="45" t="s">
        <v>82</v>
      </c>
      <c r="C11" s="46">
        <v>1360</v>
      </c>
      <c r="D11" s="56">
        <f t="shared" si="0"/>
        <v>4085.29411764706</v>
      </c>
      <c r="E11" s="45" t="s">
        <v>83</v>
      </c>
      <c r="F11" s="57">
        <v>43714</v>
      </c>
      <c r="G11" s="56">
        <v>5556000</v>
      </c>
      <c r="H11" s="49">
        <v>0</v>
      </c>
      <c r="I11" s="49">
        <v>0</v>
      </c>
      <c r="J11" s="56">
        <v>308628</v>
      </c>
      <c r="K11" s="56">
        <v>1489000</v>
      </c>
      <c r="L11" s="56">
        <v>2148000</v>
      </c>
      <c r="M11" s="56">
        <v>859000</v>
      </c>
      <c r="N11" s="56">
        <v>1368628</v>
      </c>
      <c r="O11" s="56">
        <v>0</v>
      </c>
      <c r="P11" s="56">
        <f t="shared" si="2"/>
        <v>5864628</v>
      </c>
      <c r="Q11" s="56">
        <f t="shared" si="1"/>
        <v>0</v>
      </c>
    </row>
    <row r="12" ht="12.9" customHeight="1" spans="1:17">
      <c r="A12" s="46">
        <v>7</v>
      </c>
      <c r="B12" s="45" t="s">
        <v>84</v>
      </c>
      <c r="C12" s="46">
        <v>1360</v>
      </c>
      <c r="D12" s="56">
        <f t="shared" si="0"/>
        <v>4186.76470588235</v>
      </c>
      <c r="E12" s="45" t="s">
        <v>85</v>
      </c>
      <c r="F12" s="57">
        <v>44294</v>
      </c>
      <c r="G12" s="56">
        <v>5694000</v>
      </c>
      <c r="H12" s="49">
        <v>0</v>
      </c>
      <c r="I12" s="49">
        <v>0</v>
      </c>
      <c r="J12" s="56">
        <v>284701</v>
      </c>
      <c r="K12" s="56">
        <v>0</v>
      </c>
      <c r="L12" s="56">
        <v>0</v>
      </c>
      <c r="M12" s="56">
        <v>5694000</v>
      </c>
      <c r="N12" s="56">
        <v>0</v>
      </c>
      <c r="O12" s="56">
        <v>0</v>
      </c>
      <c r="P12" s="56">
        <f t="shared" si="2"/>
        <v>5694000</v>
      </c>
      <c r="Q12" s="56">
        <f t="shared" si="1"/>
        <v>284701</v>
      </c>
    </row>
    <row r="13" ht="12.9" customHeight="1" spans="1:17">
      <c r="A13" s="46">
        <v>8</v>
      </c>
      <c r="B13" s="45" t="s">
        <v>86</v>
      </c>
      <c r="C13" s="46">
        <v>1360</v>
      </c>
      <c r="D13" s="56">
        <f t="shared" si="0"/>
        <v>4613.23529411765</v>
      </c>
      <c r="E13" s="45" t="s">
        <v>87</v>
      </c>
      <c r="F13" s="57">
        <v>44310</v>
      </c>
      <c r="G13" s="56">
        <v>6274000</v>
      </c>
      <c r="H13" s="49">
        <v>0</v>
      </c>
      <c r="I13" s="49">
        <v>0</v>
      </c>
      <c r="J13" s="56">
        <v>313700</v>
      </c>
      <c r="K13" s="56">
        <v>0</v>
      </c>
      <c r="L13" s="56">
        <v>0</v>
      </c>
      <c r="M13" s="56">
        <v>564740</v>
      </c>
      <c r="N13" s="56">
        <v>0</v>
      </c>
      <c r="O13" s="56">
        <v>6022960</v>
      </c>
      <c r="P13" s="56">
        <f t="shared" si="2"/>
        <v>6587700</v>
      </c>
      <c r="Q13" s="56">
        <f t="shared" si="1"/>
        <v>0</v>
      </c>
    </row>
    <row r="14" ht="12.9" customHeight="1" spans="1:17">
      <c r="A14" s="46">
        <v>9</v>
      </c>
      <c r="B14" s="45" t="s">
        <v>88</v>
      </c>
      <c r="C14" s="46">
        <v>1360</v>
      </c>
      <c r="D14" s="56">
        <f t="shared" si="0"/>
        <v>4186.76470588235</v>
      </c>
      <c r="E14" s="45" t="s">
        <v>89</v>
      </c>
      <c r="F14" s="57">
        <v>44294</v>
      </c>
      <c r="G14" s="56">
        <v>5694000</v>
      </c>
      <c r="H14" s="49">
        <v>0</v>
      </c>
      <c r="I14" s="49">
        <v>0</v>
      </c>
      <c r="J14" s="56">
        <v>284700</v>
      </c>
      <c r="K14" s="56">
        <v>0</v>
      </c>
      <c r="L14" s="56">
        <v>0</v>
      </c>
      <c r="M14" s="56">
        <v>5694094.4</v>
      </c>
      <c r="N14" s="56">
        <v>0</v>
      </c>
      <c r="O14" s="56">
        <v>0</v>
      </c>
      <c r="P14" s="56">
        <f t="shared" si="2"/>
        <v>5694094.4</v>
      </c>
      <c r="Q14" s="56">
        <f t="shared" si="1"/>
        <v>284605.6</v>
      </c>
    </row>
    <row r="15" ht="12.9" customHeight="1" spans="1:17">
      <c r="A15" s="46">
        <v>10</v>
      </c>
      <c r="B15" s="45" t="s">
        <v>90</v>
      </c>
      <c r="C15" s="46">
        <v>1360</v>
      </c>
      <c r="D15" s="56">
        <f t="shared" si="0"/>
        <v>4613.23529411765</v>
      </c>
      <c r="E15" s="45" t="s">
        <v>87</v>
      </c>
      <c r="F15" s="57">
        <v>44310</v>
      </c>
      <c r="G15" s="56">
        <v>6274000</v>
      </c>
      <c r="H15" s="49">
        <v>0</v>
      </c>
      <c r="I15" s="49">
        <v>0</v>
      </c>
      <c r="J15" s="56">
        <v>313700</v>
      </c>
      <c r="K15" s="56">
        <v>0</v>
      </c>
      <c r="L15" s="56">
        <v>0</v>
      </c>
      <c r="M15" s="56">
        <v>564740</v>
      </c>
      <c r="N15" s="56">
        <v>0</v>
      </c>
      <c r="O15" s="56">
        <v>6022960</v>
      </c>
      <c r="P15" s="56">
        <f t="shared" si="2"/>
        <v>6587700</v>
      </c>
      <c r="Q15" s="56">
        <f t="shared" si="1"/>
        <v>0</v>
      </c>
    </row>
    <row r="16" ht="12.9" customHeight="1" spans="1:17">
      <c r="A16" s="46">
        <v>11</v>
      </c>
      <c r="B16" s="45" t="s">
        <v>91</v>
      </c>
      <c r="C16" s="46">
        <v>1360</v>
      </c>
      <c r="D16" s="56">
        <f t="shared" si="0"/>
        <v>4884.55882352941</v>
      </c>
      <c r="E16" s="45" t="s">
        <v>92</v>
      </c>
      <c r="F16" s="57">
        <v>44204</v>
      </c>
      <c r="G16" s="56">
        <v>6643000</v>
      </c>
      <c r="H16" s="49">
        <v>0</v>
      </c>
      <c r="I16" s="49">
        <v>0</v>
      </c>
      <c r="J16" s="56">
        <v>410721</v>
      </c>
      <c r="K16" s="56">
        <v>0</v>
      </c>
      <c r="L16" s="56">
        <v>1221000</v>
      </c>
      <c r="M16" s="56">
        <v>5222000</v>
      </c>
      <c r="N16" s="56">
        <v>0</v>
      </c>
      <c r="O16" s="56">
        <v>610721</v>
      </c>
      <c r="P16" s="56">
        <f t="shared" si="2"/>
        <v>7053721</v>
      </c>
      <c r="Q16" s="56">
        <f t="shared" si="1"/>
        <v>0</v>
      </c>
    </row>
    <row r="17" ht="12.9" customHeight="1" spans="1:17">
      <c r="A17" s="46">
        <v>12</v>
      </c>
      <c r="B17" s="45" t="s">
        <v>93</v>
      </c>
      <c r="C17" s="46">
        <v>1360</v>
      </c>
      <c r="D17" s="56">
        <f t="shared" si="0"/>
        <v>3562.5</v>
      </c>
      <c r="E17" s="45" t="s">
        <v>94</v>
      </c>
      <c r="F17" s="57">
        <v>43754</v>
      </c>
      <c r="G17" s="56">
        <v>4845000</v>
      </c>
      <c r="H17" s="49">
        <v>0</v>
      </c>
      <c r="I17" s="49">
        <v>0</v>
      </c>
      <c r="J17" s="56">
        <v>276564</v>
      </c>
      <c r="K17" s="56">
        <v>671000</v>
      </c>
      <c r="L17" s="56">
        <v>2940000</v>
      </c>
      <c r="M17" s="56">
        <v>1482250</v>
      </c>
      <c r="N17" s="56">
        <v>21874</v>
      </c>
      <c r="O17" s="56">
        <v>0</v>
      </c>
      <c r="P17" s="56">
        <f t="shared" si="2"/>
        <v>5115124</v>
      </c>
      <c r="Q17" s="56">
        <f t="shared" si="1"/>
        <v>6440</v>
      </c>
    </row>
    <row r="18" ht="12.9" customHeight="1" spans="1:17">
      <c r="A18" s="46">
        <v>13</v>
      </c>
      <c r="B18" s="45" t="s">
        <v>95</v>
      </c>
      <c r="C18" s="46">
        <v>1360</v>
      </c>
      <c r="D18" s="56">
        <f t="shared" si="0"/>
        <v>4085.29411764706</v>
      </c>
      <c r="E18" s="45" t="s">
        <v>96</v>
      </c>
      <c r="F18" s="57">
        <v>43723</v>
      </c>
      <c r="G18" s="56">
        <v>5556000</v>
      </c>
      <c r="H18" s="49">
        <v>0</v>
      </c>
      <c r="I18" s="49">
        <v>0</v>
      </c>
      <c r="J18" s="56">
        <v>401800</v>
      </c>
      <c r="K18" s="56">
        <v>1489000</v>
      </c>
      <c r="L18" s="56">
        <v>1719000</v>
      </c>
      <c r="M18" s="56">
        <v>2631800</v>
      </c>
      <c r="N18" s="56">
        <v>118000</v>
      </c>
      <c r="O18" s="56">
        <v>0</v>
      </c>
      <c r="P18" s="56">
        <f t="shared" si="2"/>
        <v>5957800</v>
      </c>
      <c r="Q18" s="56">
        <f t="shared" si="1"/>
        <v>0</v>
      </c>
    </row>
    <row r="19" ht="12.9" customHeight="1" spans="1:17">
      <c r="A19" s="46">
        <v>14</v>
      </c>
      <c r="B19" s="45" t="s">
        <v>97</v>
      </c>
      <c r="C19" s="46">
        <v>1360</v>
      </c>
      <c r="D19" s="56">
        <f t="shared" si="0"/>
        <v>4085.29411764706</v>
      </c>
      <c r="E19" s="45" t="s">
        <v>98</v>
      </c>
      <c r="F19" s="57">
        <v>43722</v>
      </c>
      <c r="G19" s="56">
        <v>5556000</v>
      </c>
      <c r="H19" s="49">
        <v>0</v>
      </c>
      <c r="I19" s="49">
        <v>0</v>
      </c>
      <c r="J19" s="56">
        <v>511727</v>
      </c>
      <c r="K19" s="56">
        <v>1503890</v>
      </c>
      <c r="L19" s="56">
        <v>1864510</v>
      </c>
      <c r="M19" s="56">
        <v>2348450</v>
      </c>
      <c r="N19" s="56">
        <v>258950</v>
      </c>
      <c r="O19" s="56">
        <v>91927</v>
      </c>
      <c r="P19" s="56">
        <f t="shared" si="2"/>
        <v>6067727</v>
      </c>
      <c r="Q19" s="56">
        <f t="shared" si="1"/>
        <v>0</v>
      </c>
    </row>
    <row r="20" ht="12.9" customHeight="1" spans="1:17">
      <c r="A20" s="46">
        <v>15</v>
      </c>
      <c r="B20" s="45" t="s">
        <v>99</v>
      </c>
      <c r="C20" s="46">
        <v>1360</v>
      </c>
      <c r="D20" s="56">
        <f t="shared" si="0"/>
        <v>3985.29411764706</v>
      </c>
      <c r="E20" s="45" t="s">
        <v>100</v>
      </c>
      <c r="F20" s="57">
        <v>43714</v>
      </c>
      <c r="G20" s="56">
        <v>5420000</v>
      </c>
      <c r="H20" s="49">
        <v>0</v>
      </c>
      <c r="I20" s="49">
        <v>0</v>
      </c>
      <c r="J20" s="56">
        <v>299452</v>
      </c>
      <c r="K20" s="56">
        <v>1456000</v>
      </c>
      <c r="L20" s="56">
        <v>2927999</v>
      </c>
      <c r="M20" s="56">
        <f>1166641+10360</f>
        <v>1177001</v>
      </c>
      <c r="N20" s="56">
        <v>158452</v>
      </c>
      <c r="O20" s="56">
        <v>0</v>
      </c>
      <c r="P20" s="56">
        <f t="shared" si="2"/>
        <v>5719452</v>
      </c>
      <c r="Q20" s="56">
        <f t="shared" si="1"/>
        <v>0</v>
      </c>
    </row>
    <row r="21" ht="12.9" customHeight="1" spans="1:17">
      <c r="A21" s="46">
        <v>16</v>
      </c>
      <c r="B21" s="45" t="s">
        <v>101</v>
      </c>
      <c r="C21" s="46">
        <v>1360</v>
      </c>
      <c r="D21" s="56">
        <f t="shared" si="0"/>
        <v>3585.29411764706</v>
      </c>
      <c r="E21" s="45" t="s">
        <v>102</v>
      </c>
      <c r="F21" s="57">
        <v>44450</v>
      </c>
      <c r="G21" s="56">
        <v>4876000</v>
      </c>
      <c r="H21" s="49">
        <v>0</v>
      </c>
      <c r="I21" s="49">
        <v>0</v>
      </c>
      <c r="J21" s="56">
        <v>274628</v>
      </c>
      <c r="K21" s="56">
        <v>0</v>
      </c>
      <c r="L21" s="56">
        <v>0</v>
      </c>
      <c r="M21" s="56">
        <v>4585000</v>
      </c>
      <c r="N21" s="56">
        <v>565628</v>
      </c>
      <c r="O21" s="56">
        <v>0</v>
      </c>
      <c r="P21" s="56">
        <f t="shared" si="2"/>
        <v>5150628</v>
      </c>
      <c r="Q21" s="56">
        <f t="shared" si="1"/>
        <v>0</v>
      </c>
    </row>
    <row r="22" ht="12.9" customHeight="1" spans="1:17">
      <c r="A22" s="46">
        <v>17</v>
      </c>
      <c r="B22" s="45" t="s">
        <v>103</v>
      </c>
      <c r="C22" s="46">
        <v>1360</v>
      </c>
      <c r="D22" s="56">
        <f t="shared" si="0"/>
        <v>3885.29411764706</v>
      </c>
      <c r="E22" s="45" t="s">
        <v>104</v>
      </c>
      <c r="F22" s="57">
        <v>43718</v>
      </c>
      <c r="G22" s="56">
        <v>5284000</v>
      </c>
      <c r="H22" s="49">
        <v>0</v>
      </c>
      <c r="I22" s="49">
        <v>0</v>
      </c>
      <c r="J22" s="56">
        <v>492212</v>
      </c>
      <c r="K22" s="56">
        <v>1435000</v>
      </c>
      <c r="L22" s="56">
        <v>1627000</v>
      </c>
      <c r="M22" s="56">
        <v>2688500</v>
      </c>
      <c r="N22" s="56">
        <v>0</v>
      </c>
      <c r="O22" s="56">
        <v>25712</v>
      </c>
      <c r="P22" s="56">
        <f t="shared" si="2"/>
        <v>5776212</v>
      </c>
      <c r="Q22" s="56">
        <f t="shared" si="1"/>
        <v>0</v>
      </c>
    </row>
    <row r="23" ht="12.9" customHeight="1" spans="1:17">
      <c r="A23" s="46">
        <v>18</v>
      </c>
      <c r="B23" s="45" t="s">
        <v>105</v>
      </c>
      <c r="C23" s="46">
        <v>1360</v>
      </c>
      <c r="D23" s="56">
        <f t="shared" si="0"/>
        <v>3885.29411764706</v>
      </c>
      <c r="E23" s="45" t="s">
        <v>106</v>
      </c>
      <c r="F23" s="57">
        <v>43715</v>
      </c>
      <c r="G23" s="56">
        <v>5284000</v>
      </c>
      <c r="H23" s="49">
        <v>0</v>
      </c>
      <c r="I23" s="49">
        <v>0</v>
      </c>
      <c r="J23" s="56">
        <v>883451</v>
      </c>
      <c r="K23" s="56">
        <v>1325000</v>
      </c>
      <c r="L23" s="56">
        <v>0</v>
      </c>
      <c r="M23" s="56">
        <v>4713804</v>
      </c>
      <c r="N23" s="56">
        <v>0</v>
      </c>
      <c r="O23" s="56">
        <v>0</v>
      </c>
      <c r="P23" s="56">
        <f t="shared" si="2"/>
        <v>6038804</v>
      </c>
      <c r="Q23" s="56">
        <f t="shared" si="1"/>
        <v>128647</v>
      </c>
    </row>
    <row r="24" ht="12.9" customHeight="1" spans="1:17">
      <c r="A24" s="46">
        <v>19</v>
      </c>
      <c r="B24" s="45" t="s">
        <v>107</v>
      </c>
      <c r="C24" s="46">
        <v>1360</v>
      </c>
      <c r="D24" s="56">
        <f t="shared" si="0"/>
        <v>4185.29411764706</v>
      </c>
      <c r="E24" s="45" t="s">
        <v>108</v>
      </c>
      <c r="F24" s="57">
        <v>43723</v>
      </c>
      <c r="G24" s="56">
        <v>5692000</v>
      </c>
      <c r="H24" s="49">
        <v>0</v>
      </c>
      <c r="I24" s="49">
        <v>0</v>
      </c>
      <c r="J24" s="56">
        <v>350894</v>
      </c>
      <c r="K24" s="56">
        <v>1520000</v>
      </c>
      <c r="L24" s="56">
        <v>1793438</v>
      </c>
      <c r="M24" s="56">
        <f>2207000+22070</f>
        <v>2229070</v>
      </c>
      <c r="N24" s="56">
        <v>500386</v>
      </c>
      <c r="O24" s="56">
        <v>0</v>
      </c>
      <c r="P24" s="56">
        <f t="shared" si="2"/>
        <v>6042894</v>
      </c>
      <c r="Q24" s="56">
        <f t="shared" si="1"/>
        <v>0</v>
      </c>
    </row>
    <row r="25" ht="12.9" customHeight="1" spans="1:17">
      <c r="A25" s="46">
        <v>20</v>
      </c>
      <c r="B25" s="45" t="s">
        <v>109</v>
      </c>
      <c r="C25" s="46">
        <v>1360</v>
      </c>
      <c r="D25" s="56">
        <f t="shared" si="0"/>
        <v>3885.29411764706</v>
      </c>
      <c r="E25" s="45" t="s">
        <v>110</v>
      </c>
      <c r="F25" s="57">
        <v>43716</v>
      </c>
      <c r="G25" s="56">
        <v>5284000</v>
      </c>
      <c r="H25" s="49">
        <v>0</v>
      </c>
      <c r="I25" s="49">
        <v>0</v>
      </c>
      <c r="J25" s="56">
        <v>337647</v>
      </c>
      <c r="K25" s="56">
        <v>1441270</v>
      </c>
      <c r="L25" s="56">
        <v>1627000</v>
      </c>
      <c r="M25" s="56">
        <v>1220000</v>
      </c>
      <c r="N25" s="56">
        <v>1328011</v>
      </c>
      <c r="O25" s="56">
        <v>141366</v>
      </c>
      <c r="P25" s="56">
        <f t="shared" si="2"/>
        <v>5757647</v>
      </c>
      <c r="Q25" s="56">
        <f t="shared" si="1"/>
        <v>-136000</v>
      </c>
    </row>
    <row r="26" ht="12.9" customHeight="1" spans="1:17">
      <c r="A26" s="46">
        <v>21</v>
      </c>
      <c r="B26" s="45" t="s">
        <v>111</v>
      </c>
      <c r="C26" s="46">
        <v>1360</v>
      </c>
      <c r="D26" s="56">
        <f t="shared" si="0"/>
        <v>4035.29411764706</v>
      </c>
      <c r="E26" s="45" t="s">
        <v>112</v>
      </c>
      <c r="F26" s="57">
        <v>43738</v>
      </c>
      <c r="G26" s="56">
        <v>5488000</v>
      </c>
      <c r="H26" s="49">
        <v>0</v>
      </c>
      <c r="I26" s="49">
        <v>0</v>
      </c>
      <c r="J26" s="56">
        <v>429114</v>
      </c>
      <c r="K26" s="56">
        <v>1472000</v>
      </c>
      <c r="L26" s="56">
        <v>1696000</v>
      </c>
      <c r="M26" s="56">
        <f>2539520+54880</f>
        <v>2594400</v>
      </c>
      <c r="N26" s="56">
        <v>154714</v>
      </c>
      <c r="O26" s="56">
        <v>0</v>
      </c>
      <c r="P26" s="56">
        <f t="shared" si="2"/>
        <v>5917114</v>
      </c>
      <c r="Q26" s="56">
        <f t="shared" si="1"/>
        <v>0</v>
      </c>
    </row>
    <row r="27" ht="12.9" customHeight="1" spans="1:17">
      <c r="A27" s="46">
        <v>22</v>
      </c>
      <c r="B27" s="45" t="s">
        <v>113</v>
      </c>
      <c r="C27" s="46">
        <v>1360</v>
      </c>
      <c r="D27" s="56">
        <f t="shared" si="0"/>
        <v>4236.02941176471</v>
      </c>
      <c r="E27" s="45" t="s">
        <v>114</v>
      </c>
      <c r="F27" s="57">
        <v>43772</v>
      </c>
      <c r="G27" s="56">
        <v>5761000</v>
      </c>
      <c r="H27" s="49">
        <v>0</v>
      </c>
      <c r="I27" s="49">
        <v>0</v>
      </c>
      <c r="J27" s="56">
        <v>318213</v>
      </c>
      <c r="K27" s="56">
        <v>875116</v>
      </c>
      <c r="L27" s="56">
        <v>2424000</v>
      </c>
      <c r="M27" s="56">
        <v>1921000</v>
      </c>
      <c r="N27" s="56">
        <v>859097</v>
      </c>
      <c r="O27" s="56">
        <v>0</v>
      </c>
      <c r="P27" s="56">
        <f t="shared" si="2"/>
        <v>6079213</v>
      </c>
      <c r="Q27" s="56">
        <f t="shared" si="1"/>
        <v>0</v>
      </c>
    </row>
    <row r="28" ht="12.9" customHeight="1" spans="1:17">
      <c r="A28" s="46">
        <v>23</v>
      </c>
      <c r="B28" s="45" t="s">
        <v>115</v>
      </c>
      <c r="C28" s="46">
        <v>1360</v>
      </c>
      <c r="D28" s="56">
        <f t="shared" si="0"/>
        <v>4284.55882352941</v>
      </c>
      <c r="E28" s="45" t="s">
        <v>116</v>
      </c>
      <c r="F28" s="57">
        <v>43783</v>
      </c>
      <c r="G28" s="56">
        <v>5827000</v>
      </c>
      <c r="H28" s="49">
        <v>0</v>
      </c>
      <c r="I28" s="49">
        <v>0</v>
      </c>
      <c r="J28" s="56">
        <v>322178</v>
      </c>
      <c r="K28" s="56">
        <v>1552000</v>
      </c>
      <c r="L28" s="56">
        <v>1811000</v>
      </c>
      <c r="M28" s="56">
        <v>1636000</v>
      </c>
      <c r="N28" s="56">
        <v>1150178</v>
      </c>
      <c r="O28" s="56">
        <v>0</v>
      </c>
      <c r="P28" s="56">
        <f t="shared" si="2"/>
        <v>6149178</v>
      </c>
      <c r="Q28" s="56">
        <f t="shared" si="1"/>
        <v>0</v>
      </c>
    </row>
    <row r="29" ht="12.9" customHeight="1" spans="1:17">
      <c r="A29" s="46">
        <v>24</v>
      </c>
      <c r="B29" s="45" t="s">
        <v>117</v>
      </c>
      <c r="C29" s="46">
        <v>1360</v>
      </c>
      <c r="D29" s="56">
        <f t="shared" si="0"/>
        <v>4085.29411764706</v>
      </c>
      <c r="E29" s="45" t="s">
        <v>118</v>
      </c>
      <c r="F29" s="57">
        <v>43716</v>
      </c>
      <c r="G29" s="56">
        <v>5556000</v>
      </c>
      <c r="H29" s="49">
        <v>0</v>
      </c>
      <c r="I29" s="49">
        <v>0</v>
      </c>
      <c r="J29" s="56">
        <v>304900</v>
      </c>
      <c r="K29" s="56">
        <v>1489000</v>
      </c>
      <c r="L29" s="56">
        <v>1719000</v>
      </c>
      <c r="M29" s="56">
        <v>1000000</v>
      </c>
      <c r="N29" s="56">
        <v>1656628</v>
      </c>
      <c r="O29" s="56">
        <v>0</v>
      </c>
      <c r="P29" s="56">
        <f t="shared" si="2"/>
        <v>5864628</v>
      </c>
      <c r="Q29" s="56">
        <f t="shared" si="1"/>
        <v>-3728</v>
      </c>
    </row>
    <row r="30" ht="12.9" customHeight="1" spans="1:17">
      <c r="A30" s="46">
        <v>25</v>
      </c>
      <c r="B30" s="45" t="s">
        <v>119</v>
      </c>
      <c r="C30" s="46">
        <v>1360</v>
      </c>
      <c r="D30" s="56">
        <f t="shared" si="0"/>
        <v>3562.5</v>
      </c>
      <c r="E30" s="45" t="s">
        <v>120</v>
      </c>
      <c r="F30" s="57">
        <v>43754</v>
      </c>
      <c r="G30" s="56">
        <v>4845000</v>
      </c>
      <c r="H30" s="49">
        <v>0</v>
      </c>
      <c r="I30" s="49">
        <v>0</v>
      </c>
      <c r="J30" s="56">
        <v>271884</v>
      </c>
      <c r="K30" s="56">
        <v>671000</v>
      </c>
      <c r="L30" s="56">
        <v>1766000</v>
      </c>
      <c r="M30" s="56">
        <v>2656250</v>
      </c>
      <c r="N30" s="56">
        <v>23634</v>
      </c>
      <c r="O30" s="56">
        <v>0</v>
      </c>
      <c r="P30" s="56">
        <f t="shared" si="2"/>
        <v>5116884</v>
      </c>
      <c r="Q30" s="56">
        <f t="shared" si="1"/>
        <v>0</v>
      </c>
    </row>
    <row r="31" ht="12.9" customHeight="1" spans="1:17">
      <c r="A31" s="46">
        <v>26</v>
      </c>
      <c r="B31" s="45" t="s">
        <v>121</v>
      </c>
      <c r="C31" s="46">
        <v>1360</v>
      </c>
      <c r="D31" s="56">
        <f t="shared" si="0"/>
        <v>3985.29411764706</v>
      </c>
      <c r="E31" s="45" t="s">
        <v>122</v>
      </c>
      <c r="F31" s="57">
        <v>43716</v>
      </c>
      <c r="G31" s="56">
        <v>5420000</v>
      </c>
      <c r="H31" s="49">
        <v>0</v>
      </c>
      <c r="I31" s="49">
        <v>0</v>
      </c>
      <c r="J31" s="56">
        <v>168109</v>
      </c>
      <c r="K31" s="56">
        <v>1470560</v>
      </c>
      <c r="L31" s="56">
        <v>1658441</v>
      </c>
      <c r="M31" s="56">
        <f>2403090+12550+10360</f>
        <v>2426000</v>
      </c>
      <c r="N31" s="56">
        <v>33108</v>
      </c>
      <c r="O31" s="56">
        <v>0</v>
      </c>
      <c r="P31" s="56">
        <f t="shared" si="2"/>
        <v>5588109</v>
      </c>
      <c r="Q31" s="56">
        <f t="shared" si="1"/>
        <v>0</v>
      </c>
    </row>
    <row r="32" ht="12.9" customHeight="1" spans="1:17">
      <c r="A32" s="46">
        <v>27</v>
      </c>
      <c r="B32" s="45" t="s">
        <v>123</v>
      </c>
      <c r="C32" s="46">
        <v>1360</v>
      </c>
      <c r="D32" s="56">
        <f t="shared" si="0"/>
        <v>4400</v>
      </c>
      <c r="E32" s="45" t="s">
        <v>124</v>
      </c>
      <c r="F32" s="57">
        <v>44417</v>
      </c>
      <c r="G32" s="56">
        <v>5984000</v>
      </c>
      <c r="H32" s="49">
        <v>0</v>
      </c>
      <c r="I32" s="49">
        <v>0</v>
      </c>
      <c r="J32" s="56">
        <v>305200</v>
      </c>
      <c r="K32" s="56">
        <v>0</v>
      </c>
      <c r="L32" s="56">
        <v>0</v>
      </c>
      <c r="M32" s="56">
        <v>4378000</v>
      </c>
      <c r="N32" s="56">
        <v>1911200</v>
      </c>
      <c r="O32" s="56">
        <v>0</v>
      </c>
      <c r="P32" s="56">
        <f t="shared" si="2"/>
        <v>6289200</v>
      </c>
      <c r="Q32" s="56">
        <f t="shared" si="1"/>
        <v>0</v>
      </c>
    </row>
    <row r="33" ht="12.9" customHeight="1" spans="1:17">
      <c r="A33" s="46">
        <v>28</v>
      </c>
      <c r="B33" s="45" t="s">
        <v>125</v>
      </c>
      <c r="C33" s="46">
        <v>1360</v>
      </c>
      <c r="D33" s="56">
        <f t="shared" si="0"/>
        <v>4236.02941176471</v>
      </c>
      <c r="E33" s="45" t="s">
        <v>126</v>
      </c>
      <c r="F33" s="57">
        <v>43776</v>
      </c>
      <c r="G33" s="56">
        <v>5761000</v>
      </c>
      <c r="H33" s="49">
        <v>0</v>
      </c>
      <c r="I33" s="49">
        <v>0</v>
      </c>
      <c r="J33" s="56">
        <v>355484</v>
      </c>
      <c r="K33" s="56">
        <v>1064000</v>
      </c>
      <c r="L33" s="56">
        <v>2235000</v>
      </c>
      <c r="M33" s="56">
        <v>1341000</v>
      </c>
      <c r="N33" s="56">
        <v>1476484</v>
      </c>
      <c r="O33" s="56">
        <v>0</v>
      </c>
      <c r="P33" s="56">
        <f t="shared" si="2"/>
        <v>6116484</v>
      </c>
      <c r="Q33" s="56">
        <f t="shared" si="1"/>
        <v>0</v>
      </c>
    </row>
    <row r="34" ht="12.9" customHeight="1" spans="1:17">
      <c r="A34" s="46">
        <v>29</v>
      </c>
      <c r="B34" s="45" t="s">
        <v>127</v>
      </c>
      <c r="C34" s="46">
        <v>1360</v>
      </c>
      <c r="D34" s="56">
        <f t="shared" si="0"/>
        <v>3885.29411764706</v>
      </c>
      <c r="E34" s="45" t="s">
        <v>128</v>
      </c>
      <c r="F34" s="57">
        <v>43715</v>
      </c>
      <c r="G34" s="56">
        <v>5284000</v>
      </c>
      <c r="H34" s="49">
        <v>0</v>
      </c>
      <c r="I34" s="49">
        <v>0</v>
      </c>
      <c r="J34" s="56">
        <v>320764</v>
      </c>
      <c r="K34" s="56">
        <v>1427000</v>
      </c>
      <c r="L34" s="56">
        <v>1627000</v>
      </c>
      <c r="M34" s="56">
        <v>1220000</v>
      </c>
      <c r="N34" s="56">
        <v>1268200</v>
      </c>
      <c r="O34" s="56">
        <v>62564</v>
      </c>
      <c r="P34" s="56">
        <f t="shared" si="2"/>
        <v>5604764</v>
      </c>
      <c r="Q34" s="56">
        <f t="shared" si="1"/>
        <v>0</v>
      </c>
    </row>
    <row r="35" ht="12.9" customHeight="1" spans="1:17">
      <c r="A35" s="46">
        <v>30</v>
      </c>
      <c r="B35" s="45" t="s">
        <v>129</v>
      </c>
      <c r="C35" s="46">
        <v>1660</v>
      </c>
      <c r="D35" s="56">
        <f t="shared" si="0"/>
        <v>4215.06024096385</v>
      </c>
      <c r="E35" s="45" t="s">
        <v>130</v>
      </c>
      <c r="F35" s="57">
        <v>43885</v>
      </c>
      <c r="G35" s="56">
        <v>6997000</v>
      </c>
      <c r="H35" s="49">
        <v>0</v>
      </c>
      <c r="I35" s="49">
        <v>0</v>
      </c>
      <c r="J35" s="56">
        <v>911063</v>
      </c>
      <c r="K35" s="56">
        <v>225000</v>
      </c>
      <c r="L35" s="56">
        <v>5142000</v>
      </c>
      <c r="M35" s="56">
        <v>0</v>
      </c>
      <c r="N35" s="56">
        <v>760000</v>
      </c>
      <c r="O35" s="56">
        <v>1750000</v>
      </c>
      <c r="P35" s="56">
        <f t="shared" si="2"/>
        <v>7877000</v>
      </c>
      <c r="Q35" s="56">
        <f t="shared" si="1"/>
        <v>31063</v>
      </c>
    </row>
    <row r="36" ht="12.9" customHeight="1" spans="1:17">
      <c r="A36" s="46">
        <v>31</v>
      </c>
      <c r="B36" s="45" t="s">
        <v>131</v>
      </c>
      <c r="C36" s="46">
        <v>1660</v>
      </c>
      <c r="D36" s="56">
        <f t="shared" si="0"/>
        <v>4616.26506024096</v>
      </c>
      <c r="E36" s="45" t="s">
        <v>132</v>
      </c>
      <c r="F36" s="57">
        <v>44193</v>
      </c>
      <c r="G36" s="56">
        <v>7663000</v>
      </c>
      <c r="H36" s="49">
        <v>0</v>
      </c>
      <c r="I36" s="49">
        <v>0</v>
      </c>
      <c r="J36" s="56">
        <v>491145</v>
      </c>
      <c r="K36" s="56">
        <v>0</v>
      </c>
      <c r="L36" s="56">
        <v>6425000</v>
      </c>
      <c r="M36" s="56">
        <v>1627150</v>
      </c>
      <c r="N36" s="56">
        <v>101995</v>
      </c>
      <c r="O36" s="56">
        <v>0</v>
      </c>
      <c r="P36" s="56">
        <f t="shared" si="2"/>
        <v>8154145</v>
      </c>
      <c r="Q36" s="56">
        <f t="shared" si="1"/>
        <v>0</v>
      </c>
    </row>
    <row r="37" ht="12.9" customHeight="1" spans="1:17">
      <c r="A37" s="46">
        <v>32</v>
      </c>
      <c r="B37" s="45" t="s">
        <v>133</v>
      </c>
      <c r="C37" s="46">
        <v>1660</v>
      </c>
      <c r="D37" s="56">
        <f t="shared" si="0"/>
        <v>4246.98795180723</v>
      </c>
      <c r="E37" s="45" t="s">
        <v>134</v>
      </c>
      <c r="F37" s="57">
        <v>43770</v>
      </c>
      <c r="G37" s="56">
        <v>7050000</v>
      </c>
      <c r="H37" s="49">
        <v>0</v>
      </c>
      <c r="I37" s="49">
        <v>0</v>
      </c>
      <c r="J37" s="56">
        <v>357928</v>
      </c>
      <c r="K37" s="56">
        <v>1282000</v>
      </c>
      <c r="L37" s="56">
        <v>4740800</v>
      </c>
      <c r="M37" s="56">
        <v>0</v>
      </c>
      <c r="N37" s="56">
        <v>1224200</v>
      </c>
      <c r="O37" s="56">
        <v>0</v>
      </c>
      <c r="P37" s="56">
        <f t="shared" si="2"/>
        <v>7247000</v>
      </c>
      <c r="Q37" s="56">
        <f t="shared" si="1"/>
        <v>160928</v>
      </c>
    </row>
    <row r="38" ht="12.9" customHeight="1" spans="1:17">
      <c r="A38" s="46">
        <v>33</v>
      </c>
      <c r="B38" s="45" t="s">
        <v>135</v>
      </c>
      <c r="C38" s="46">
        <v>1660</v>
      </c>
      <c r="D38" s="56">
        <f t="shared" si="0"/>
        <v>4216.26506024096</v>
      </c>
      <c r="E38" s="45" t="s">
        <v>136</v>
      </c>
      <c r="F38" s="57">
        <v>43768</v>
      </c>
      <c r="G38" s="56">
        <v>6999000</v>
      </c>
      <c r="H38" s="49">
        <v>0</v>
      </c>
      <c r="I38" s="49">
        <v>0</v>
      </c>
      <c r="J38" s="56">
        <v>391517</v>
      </c>
      <c r="K38" s="56">
        <v>1499000</v>
      </c>
      <c r="L38" s="56">
        <v>4396850</v>
      </c>
      <c r="M38" s="56">
        <v>0</v>
      </c>
      <c r="N38" s="56">
        <v>1317928</v>
      </c>
      <c r="O38" s="56">
        <v>176739</v>
      </c>
      <c r="P38" s="56">
        <f t="shared" si="2"/>
        <v>7390517</v>
      </c>
      <c r="Q38" s="56">
        <f t="shared" si="1"/>
        <v>0</v>
      </c>
    </row>
    <row r="39" ht="12.9" customHeight="1" spans="1:17">
      <c r="A39" s="46">
        <v>34</v>
      </c>
      <c r="B39" s="45" t="s">
        <v>137</v>
      </c>
      <c r="C39" s="46">
        <v>1660</v>
      </c>
      <c r="D39" s="56">
        <f t="shared" si="0"/>
        <v>4015.06024096386</v>
      </c>
      <c r="E39" s="45" t="s">
        <v>138</v>
      </c>
      <c r="F39" s="57">
        <v>43714</v>
      </c>
      <c r="G39" s="56">
        <v>6665000</v>
      </c>
      <c r="H39" s="49">
        <v>0</v>
      </c>
      <c r="I39" s="49">
        <v>0</v>
      </c>
      <c r="J39" s="56">
        <v>419510</v>
      </c>
      <c r="K39" s="56">
        <v>3845001</v>
      </c>
      <c r="L39" s="56">
        <v>2252000</v>
      </c>
      <c r="M39" s="56">
        <v>0</v>
      </c>
      <c r="N39" s="56">
        <v>931749</v>
      </c>
      <c r="O39" s="56">
        <v>55760</v>
      </c>
      <c r="P39" s="56">
        <f t="shared" ref="P39:P70" si="3">SUM(K39:O39)</f>
        <v>7084510</v>
      </c>
      <c r="Q39" s="56">
        <f t="shared" si="1"/>
        <v>0</v>
      </c>
    </row>
    <row r="40" ht="12.9" customHeight="1" spans="1:17">
      <c r="A40" s="46">
        <v>35</v>
      </c>
      <c r="B40" s="45" t="s">
        <v>139</v>
      </c>
      <c r="C40" s="46">
        <v>1660</v>
      </c>
      <c r="D40" s="56">
        <f t="shared" si="0"/>
        <v>4116.26506024096</v>
      </c>
      <c r="E40" s="45" t="s">
        <v>140</v>
      </c>
      <c r="F40" s="57">
        <v>43929</v>
      </c>
      <c r="G40" s="56">
        <v>6833000</v>
      </c>
      <c r="H40" s="49">
        <v>0</v>
      </c>
      <c r="I40" s="49">
        <v>0</v>
      </c>
      <c r="J40" s="56">
        <v>341650</v>
      </c>
      <c r="K40" s="56">
        <v>0</v>
      </c>
      <c r="L40" s="56">
        <v>0</v>
      </c>
      <c r="M40" s="56">
        <v>6833094.4</v>
      </c>
      <c r="N40" s="56">
        <v>0</v>
      </c>
      <c r="O40" s="56">
        <v>0</v>
      </c>
      <c r="P40" s="56">
        <f t="shared" si="3"/>
        <v>6833094.4</v>
      </c>
      <c r="Q40" s="56">
        <f t="shared" si="1"/>
        <v>341555.6</v>
      </c>
    </row>
    <row r="41" ht="12.9" customHeight="1" spans="1:17">
      <c r="A41" s="46">
        <v>36</v>
      </c>
      <c r="B41" s="45" t="s">
        <v>141</v>
      </c>
      <c r="C41" s="46">
        <v>1660</v>
      </c>
      <c r="D41" s="56">
        <f t="shared" si="0"/>
        <v>4116.26506024096</v>
      </c>
      <c r="E41" s="45" t="s">
        <v>142</v>
      </c>
      <c r="F41" s="57">
        <v>43929</v>
      </c>
      <c r="G41" s="56">
        <v>6833000</v>
      </c>
      <c r="H41" s="49">
        <v>0</v>
      </c>
      <c r="I41" s="49">
        <v>0</v>
      </c>
      <c r="J41" s="56">
        <v>341650</v>
      </c>
      <c r="K41" s="56">
        <v>0</v>
      </c>
      <c r="L41" s="56">
        <v>0</v>
      </c>
      <c r="M41" s="56">
        <v>6833000</v>
      </c>
      <c r="N41" s="56">
        <v>0</v>
      </c>
      <c r="O41" s="56">
        <v>0</v>
      </c>
      <c r="P41" s="56">
        <f t="shared" si="3"/>
        <v>6833000</v>
      </c>
      <c r="Q41" s="56">
        <f t="shared" si="1"/>
        <v>341650</v>
      </c>
    </row>
    <row r="42" ht="12.9" customHeight="1" spans="1:17">
      <c r="A42" s="46">
        <v>37</v>
      </c>
      <c r="B42" s="45" t="s">
        <v>143</v>
      </c>
      <c r="C42" s="46">
        <v>1660</v>
      </c>
      <c r="D42" s="56">
        <f t="shared" si="0"/>
        <v>4515.06024096385</v>
      </c>
      <c r="E42" s="45" t="s">
        <v>144</v>
      </c>
      <c r="F42" s="57">
        <v>44144</v>
      </c>
      <c r="G42" s="56">
        <v>7495000</v>
      </c>
      <c r="H42" s="49">
        <v>0</v>
      </c>
      <c r="I42" s="49">
        <v>0</v>
      </c>
      <c r="J42" s="56">
        <v>380114</v>
      </c>
      <c r="K42" s="56">
        <v>0</v>
      </c>
      <c r="L42" s="56">
        <v>6305114</v>
      </c>
      <c r="M42" s="56">
        <v>1570000</v>
      </c>
      <c r="N42" s="56">
        <v>0</v>
      </c>
      <c r="O42" s="56">
        <v>0</v>
      </c>
      <c r="P42" s="56">
        <f t="shared" si="3"/>
        <v>7875114</v>
      </c>
      <c r="Q42" s="56">
        <f t="shared" si="1"/>
        <v>0</v>
      </c>
    </row>
    <row r="43" ht="12.9" customHeight="1" spans="1:17">
      <c r="A43" s="46">
        <v>38</v>
      </c>
      <c r="B43" s="45" t="s">
        <v>145</v>
      </c>
      <c r="C43" s="46">
        <v>1660</v>
      </c>
      <c r="D43" s="56">
        <f t="shared" si="0"/>
        <v>4565.06024096385</v>
      </c>
      <c r="E43" s="45" t="s">
        <v>146</v>
      </c>
      <c r="F43" s="57">
        <v>44407</v>
      </c>
      <c r="G43" s="56">
        <v>7578000</v>
      </c>
      <c r="H43" s="49">
        <v>0</v>
      </c>
      <c r="I43" s="49">
        <v>0</v>
      </c>
      <c r="J43" s="56">
        <v>378900</v>
      </c>
      <c r="K43" s="56">
        <v>0</v>
      </c>
      <c r="L43" s="56">
        <v>0</v>
      </c>
      <c r="M43" s="56">
        <v>603900</v>
      </c>
      <c r="N43" s="56">
        <v>0</v>
      </c>
      <c r="O43" s="56">
        <v>7353000</v>
      </c>
      <c r="P43" s="56">
        <f t="shared" si="3"/>
        <v>7956900</v>
      </c>
      <c r="Q43" s="56">
        <f t="shared" si="1"/>
        <v>0</v>
      </c>
    </row>
    <row r="44" ht="12.9" customHeight="1" spans="1:17">
      <c r="A44" s="46">
        <v>39</v>
      </c>
      <c r="B44" s="45" t="s">
        <v>147</v>
      </c>
      <c r="C44" s="46">
        <v>1660</v>
      </c>
      <c r="D44" s="56">
        <f t="shared" si="0"/>
        <v>4565.06024096385</v>
      </c>
      <c r="E44" s="45" t="s">
        <v>146</v>
      </c>
      <c r="F44" s="57">
        <v>44407</v>
      </c>
      <c r="G44" s="56">
        <v>7578000</v>
      </c>
      <c r="H44" s="49">
        <v>0</v>
      </c>
      <c r="I44" s="49">
        <v>0</v>
      </c>
      <c r="J44" s="56">
        <v>378900</v>
      </c>
      <c r="K44" s="56">
        <v>0</v>
      </c>
      <c r="L44" s="56">
        <v>0</v>
      </c>
      <c r="M44" s="56">
        <v>603900</v>
      </c>
      <c r="N44" s="56">
        <v>0</v>
      </c>
      <c r="O44" s="56">
        <v>7353000</v>
      </c>
      <c r="P44" s="56">
        <f t="shared" si="3"/>
        <v>7956900</v>
      </c>
      <c r="Q44" s="56">
        <f t="shared" si="1"/>
        <v>0</v>
      </c>
    </row>
    <row r="45" ht="12.9" customHeight="1" spans="1:17">
      <c r="A45" s="46">
        <v>40</v>
      </c>
      <c r="B45" s="45" t="s">
        <v>148</v>
      </c>
      <c r="C45" s="46">
        <v>1660</v>
      </c>
      <c r="D45" s="56">
        <f t="shared" si="0"/>
        <v>3815.06024096386</v>
      </c>
      <c r="E45" s="45" t="s">
        <v>149</v>
      </c>
      <c r="F45" s="57">
        <v>43721</v>
      </c>
      <c r="G45" s="56">
        <v>6333000</v>
      </c>
      <c r="H45" s="49">
        <v>0</v>
      </c>
      <c r="I45" s="49">
        <v>0</v>
      </c>
      <c r="J45" s="56">
        <v>434650</v>
      </c>
      <c r="K45" s="56">
        <v>1671000</v>
      </c>
      <c r="L45" s="56">
        <v>2583000</v>
      </c>
      <c r="M45" s="56">
        <v>1100000</v>
      </c>
      <c r="N45" s="56">
        <v>1413650</v>
      </c>
      <c r="O45" s="56">
        <v>0</v>
      </c>
      <c r="P45" s="56">
        <f t="shared" si="3"/>
        <v>6767650</v>
      </c>
      <c r="Q45" s="56">
        <f t="shared" si="1"/>
        <v>0</v>
      </c>
    </row>
    <row r="46" ht="12.9" customHeight="1" spans="1:17">
      <c r="A46" s="46">
        <v>41</v>
      </c>
      <c r="B46" s="45" t="s">
        <v>150</v>
      </c>
      <c r="C46" s="46">
        <v>1660</v>
      </c>
      <c r="D46" s="56">
        <f t="shared" si="0"/>
        <v>4515.06024096385</v>
      </c>
      <c r="E46" s="45" t="s">
        <v>151</v>
      </c>
      <c r="F46" s="57">
        <v>44233</v>
      </c>
      <c r="G46" s="56">
        <v>7495000</v>
      </c>
      <c r="H46" s="49">
        <v>0</v>
      </c>
      <c r="I46" s="49">
        <v>0</v>
      </c>
      <c r="J46" s="56">
        <v>358201</v>
      </c>
      <c r="K46" s="56">
        <v>200000</v>
      </c>
      <c r="L46" s="56">
        <v>200000</v>
      </c>
      <c r="M46" s="56">
        <v>5550223</v>
      </c>
      <c r="N46" s="56">
        <v>1836527</v>
      </c>
      <c r="O46" s="56">
        <v>0</v>
      </c>
      <c r="P46" s="56">
        <f t="shared" si="3"/>
        <v>7786750</v>
      </c>
      <c r="Q46" s="56">
        <f t="shared" si="1"/>
        <v>66451</v>
      </c>
    </row>
    <row r="47" ht="12.9" customHeight="1" spans="1:17">
      <c r="A47" s="46">
        <v>42</v>
      </c>
      <c r="B47" s="45" t="s">
        <v>152</v>
      </c>
      <c r="C47" s="46">
        <v>1660</v>
      </c>
      <c r="D47" s="56">
        <f t="shared" si="0"/>
        <v>3481.92771084337</v>
      </c>
      <c r="E47" s="45" t="s">
        <v>153</v>
      </c>
      <c r="F47" s="57">
        <v>43737</v>
      </c>
      <c r="G47" s="56">
        <v>5780000</v>
      </c>
      <c r="H47" s="49">
        <v>0</v>
      </c>
      <c r="I47" s="49">
        <v>0</v>
      </c>
      <c r="J47" s="56">
        <v>295000</v>
      </c>
      <c r="K47" s="56">
        <v>1322000</v>
      </c>
      <c r="L47" s="56">
        <v>3160000</v>
      </c>
      <c r="M47" s="56">
        <v>1593000</v>
      </c>
      <c r="N47" s="56">
        <v>0</v>
      </c>
      <c r="O47" s="56">
        <v>0</v>
      </c>
      <c r="P47" s="56">
        <f t="shared" si="3"/>
        <v>6075000</v>
      </c>
      <c r="Q47" s="56">
        <f t="shared" si="1"/>
        <v>0</v>
      </c>
    </row>
    <row r="48" ht="12.9" customHeight="1" spans="1:17">
      <c r="A48" s="46">
        <v>43</v>
      </c>
      <c r="B48" s="45" t="s">
        <v>154</v>
      </c>
      <c r="C48" s="46">
        <v>1660</v>
      </c>
      <c r="D48" s="56">
        <f t="shared" si="0"/>
        <v>4095.78313253012</v>
      </c>
      <c r="E48" s="45" t="s">
        <v>155</v>
      </c>
      <c r="F48" s="57">
        <v>43759</v>
      </c>
      <c r="G48" s="56">
        <v>6799000</v>
      </c>
      <c r="H48" s="49">
        <v>0</v>
      </c>
      <c r="I48" s="49">
        <v>0</v>
      </c>
      <c r="J48" s="56">
        <v>445680</v>
      </c>
      <c r="K48" s="56">
        <v>1779000</v>
      </c>
      <c r="L48" s="56">
        <v>2142000</v>
      </c>
      <c r="M48" s="56">
        <v>3223950</v>
      </c>
      <c r="N48" s="56">
        <v>99730</v>
      </c>
      <c r="O48" s="56">
        <v>0</v>
      </c>
      <c r="P48" s="56">
        <f t="shared" si="3"/>
        <v>7244680</v>
      </c>
      <c r="Q48" s="56">
        <f t="shared" si="1"/>
        <v>0</v>
      </c>
    </row>
    <row r="49" ht="12.9" customHeight="1" spans="1:17">
      <c r="A49" s="46">
        <v>44</v>
      </c>
      <c r="B49" s="45" t="s">
        <v>156</v>
      </c>
      <c r="C49" s="46">
        <v>1660</v>
      </c>
      <c r="D49" s="56">
        <f t="shared" si="0"/>
        <v>3815.06024096386</v>
      </c>
      <c r="E49" s="45" t="s">
        <v>157</v>
      </c>
      <c r="F49" s="57">
        <v>43726</v>
      </c>
      <c r="G49" s="56">
        <v>6333000</v>
      </c>
      <c r="H49" s="49">
        <v>0</v>
      </c>
      <c r="I49" s="49">
        <v>0</v>
      </c>
      <c r="J49" s="56">
        <v>405394</v>
      </c>
      <c r="K49" s="56">
        <v>1671000</v>
      </c>
      <c r="L49" s="56">
        <v>1983000</v>
      </c>
      <c r="M49" s="56">
        <v>2995650</v>
      </c>
      <c r="N49" s="56">
        <v>0</v>
      </c>
      <c r="O49" s="56">
        <v>88744</v>
      </c>
      <c r="P49" s="56">
        <f t="shared" si="3"/>
        <v>6738394</v>
      </c>
      <c r="Q49" s="56">
        <f t="shared" si="1"/>
        <v>0</v>
      </c>
    </row>
    <row r="50" ht="12.9" customHeight="1" spans="1:17">
      <c r="A50" s="46">
        <v>45</v>
      </c>
      <c r="B50" s="45" t="s">
        <v>158</v>
      </c>
      <c r="C50" s="46">
        <v>1660</v>
      </c>
      <c r="D50" s="56">
        <f t="shared" si="0"/>
        <v>4116.26506024096</v>
      </c>
      <c r="E50" s="45" t="s">
        <v>159</v>
      </c>
      <c r="F50" s="57">
        <v>43778</v>
      </c>
      <c r="G50" s="56">
        <v>6833000</v>
      </c>
      <c r="H50" s="49">
        <v>0</v>
      </c>
      <c r="I50" s="49">
        <v>0</v>
      </c>
      <c r="J50" s="56">
        <v>349483</v>
      </c>
      <c r="K50" s="56">
        <v>2033000</v>
      </c>
      <c r="L50" s="56">
        <v>2105050</v>
      </c>
      <c r="M50" s="56">
        <v>2542600</v>
      </c>
      <c r="N50" s="56">
        <v>501833</v>
      </c>
      <c r="O50" s="56">
        <v>0</v>
      </c>
      <c r="P50" s="56">
        <f t="shared" si="3"/>
        <v>7182483</v>
      </c>
      <c r="Q50" s="56">
        <f t="shared" si="1"/>
        <v>0</v>
      </c>
    </row>
    <row r="51" ht="12.9" customHeight="1" spans="1:17">
      <c r="A51" s="46">
        <v>46</v>
      </c>
      <c r="B51" s="45" t="s">
        <v>160</v>
      </c>
      <c r="C51" s="46">
        <v>1660</v>
      </c>
      <c r="D51" s="56">
        <f t="shared" si="0"/>
        <v>4168.67469879518</v>
      </c>
      <c r="E51" s="45" t="s">
        <v>161</v>
      </c>
      <c r="F51" s="57">
        <v>43821</v>
      </c>
      <c r="G51" s="56">
        <v>6920000</v>
      </c>
      <c r="H51" s="49">
        <v>0</v>
      </c>
      <c r="I51" s="49">
        <v>0</v>
      </c>
      <c r="J51" s="56">
        <v>396693</v>
      </c>
      <c r="K51" s="56">
        <v>1809000</v>
      </c>
      <c r="L51" s="56">
        <v>2183000</v>
      </c>
      <c r="M51" s="56">
        <v>1637000</v>
      </c>
      <c r="N51" s="56">
        <v>1667828</v>
      </c>
      <c r="O51" s="56">
        <v>19865</v>
      </c>
      <c r="P51" s="56">
        <f t="shared" si="3"/>
        <v>7316693</v>
      </c>
      <c r="Q51" s="56">
        <f t="shared" si="1"/>
        <v>0</v>
      </c>
    </row>
    <row r="52" ht="12.9" customHeight="1" spans="1:17">
      <c r="A52" s="46">
        <v>47</v>
      </c>
      <c r="B52" s="45" t="s">
        <v>162</v>
      </c>
      <c r="C52" s="46">
        <v>1660</v>
      </c>
      <c r="D52" s="56">
        <f t="shared" si="0"/>
        <v>4104.81927710843</v>
      </c>
      <c r="E52" s="45" t="s">
        <v>163</v>
      </c>
      <c r="F52" s="57">
        <v>43737</v>
      </c>
      <c r="G52" s="56">
        <v>6814000</v>
      </c>
      <c r="H52" s="49">
        <v>0</v>
      </c>
      <c r="I52" s="49">
        <v>0</v>
      </c>
      <c r="J52" s="56">
        <v>538729</v>
      </c>
      <c r="K52" s="56">
        <v>1784000</v>
      </c>
      <c r="L52" s="56">
        <v>3757003</v>
      </c>
      <c r="M52" s="56">
        <v>1619700</v>
      </c>
      <c r="N52" s="56">
        <v>192026</v>
      </c>
      <c r="O52" s="56">
        <v>0</v>
      </c>
      <c r="P52" s="56">
        <f t="shared" si="3"/>
        <v>7352729</v>
      </c>
      <c r="Q52" s="56">
        <f t="shared" si="1"/>
        <v>0</v>
      </c>
    </row>
    <row r="53" ht="12.9" customHeight="1" spans="1:17">
      <c r="A53" s="46">
        <v>48</v>
      </c>
      <c r="B53" s="45" t="s">
        <v>164</v>
      </c>
      <c r="C53" s="46">
        <v>1660</v>
      </c>
      <c r="D53" s="56">
        <f t="shared" si="0"/>
        <v>3815.06024096386</v>
      </c>
      <c r="E53" s="45" t="s">
        <v>165</v>
      </c>
      <c r="F53" s="57">
        <v>43723</v>
      </c>
      <c r="G53" s="56">
        <v>6333000</v>
      </c>
      <c r="H53" s="49">
        <v>0</v>
      </c>
      <c r="I53" s="49">
        <v>0</v>
      </c>
      <c r="J53" s="56">
        <v>404812</v>
      </c>
      <c r="K53" s="56">
        <v>1671000</v>
      </c>
      <c r="L53" s="56">
        <v>1983000</v>
      </c>
      <c r="M53" s="56">
        <f>2938320+63330</f>
        <v>3001650</v>
      </c>
      <c r="N53" s="56">
        <v>82162</v>
      </c>
      <c r="O53" s="56">
        <v>0</v>
      </c>
      <c r="P53" s="56">
        <f t="shared" si="3"/>
        <v>6737812</v>
      </c>
      <c r="Q53" s="56">
        <f t="shared" si="1"/>
        <v>0</v>
      </c>
    </row>
    <row r="54" ht="12.9" customHeight="1" spans="1:17">
      <c r="A54" s="46">
        <v>49</v>
      </c>
      <c r="B54" s="45" t="s">
        <v>166</v>
      </c>
      <c r="C54" s="46">
        <v>1660</v>
      </c>
      <c r="D54" s="56">
        <f t="shared" si="0"/>
        <v>3915.06024096386</v>
      </c>
      <c r="E54" s="45" t="s">
        <v>167</v>
      </c>
      <c r="F54" s="57">
        <v>43716</v>
      </c>
      <c r="G54" s="56">
        <v>6499000</v>
      </c>
      <c r="H54" s="49">
        <v>0</v>
      </c>
      <c r="I54" s="49">
        <v>0</v>
      </c>
      <c r="J54" s="56">
        <v>850664</v>
      </c>
      <c r="K54" s="56">
        <v>1710000</v>
      </c>
      <c r="L54" s="56">
        <v>3729000</v>
      </c>
      <c r="M54" s="56">
        <v>1885202</v>
      </c>
      <c r="N54" s="56">
        <v>25462</v>
      </c>
      <c r="O54" s="56">
        <v>0</v>
      </c>
      <c r="P54" s="56">
        <f t="shared" si="3"/>
        <v>7349664</v>
      </c>
      <c r="Q54" s="56">
        <f t="shared" si="1"/>
        <v>0</v>
      </c>
    </row>
    <row r="55" ht="12.9" customHeight="1" spans="1:17">
      <c r="A55" s="46">
        <v>50</v>
      </c>
      <c r="B55" s="45" t="s">
        <v>168</v>
      </c>
      <c r="C55" s="46">
        <v>1660</v>
      </c>
      <c r="D55" s="56">
        <f t="shared" si="0"/>
        <v>3815.06024096386</v>
      </c>
      <c r="E55" s="45" t="s">
        <v>169</v>
      </c>
      <c r="F55" s="57">
        <v>43714</v>
      </c>
      <c r="G55" s="56">
        <v>6333000</v>
      </c>
      <c r="H55" s="49">
        <v>0</v>
      </c>
      <c r="I55" s="49">
        <v>0</v>
      </c>
      <c r="J55" s="56">
        <v>334738</v>
      </c>
      <c r="K55" s="56">
        <v>1671000</v>
      </c>
      <c r="L55" s="56">
        <v>1983000</v>
      </c>
      <c r="M55" s="56">
        <v>1487000</v>
      </c>
      <c r="N55" s="56">
        <v>1513000</v>
      </c>
      <c r="O55" s="56">
        <v>13738</v>
      </c>
      <c r="P55" s="56">
        <f t="shared" si="3"/>
        <v>6667738</v>
      </c>
      <c r="Q55" s="56">
        <f t="shared" si="1"/>
        <v>0</v>
      </c>
    </row>
    <row r="56" ht="12.9" customHeight="1" spans="1:17">
      <c r="A56" s="46">
        <v>51</v>
      </c>
      <c r="B56" s="45" t="s">
        <v>170</v>
      </c>
      <c r="C56" s="46">
        <v>1660</v>
      </c>
      <c r="D56" s="56">
        <f t="shared" si="0"/>
        <v>4095.78313253012</v>
      </c>
      <c r="E56" s="45" t="s">
        <v>171</v>
      </c>
      <c r="F56" s="57">
        <v>43770</v>
      </c>
      <c r="G56" s="56">
        <v>6799000</v>
      </c>
      <c r="H56" s="49">
        <v>0</v>
      </c>
      <c r="I56" s="49">
        <v>0</v>
      </c>
      <c r="J56" s="56">
        <v>340658</v>
      </c>
      <c r="K56" s="56">
        <v>1779000</v>
      </c>
      <c r="L56" s="56">
        <v>2142000</v>
      </c>
      <c r="M56" s="56">
        <v>1600000</v>
      </c>
      <c r="N56" s="56">
        <v>1648778</v>
      </c>
      <c r="O56" s="56">
        <v>0</v>
      </c>
      <c r="P56" s="56">
        <f t="shared" si="3"/>
        <v>7169778</v>
      </c>
      <c r="Q56" s="56">
        <f t="shared" si="1"/>
        <v>-30120</v>
      </c>
    </row>
    <row r="57" ht="12.9" customHeight="1" spans="1:17">
      <c r="A57" s="46">
        <v>52</v>
      </c>
      <c r="B57" s="45" t="s">
        <v>172</v>
      </c>
      <c r="C57" s="46">
        <v>1660</v>
      </c>
      <c r="D57" s="56">
        <f t="shared" si="0"/>
        <v>3815.06024096386</v>
      </c>
      <c r="E57" s="45" t="s">
        <v>173</v>
      </c>
      <c r="F57" s="57">
        <v>43719</v>
      </c>
      <c r="G57" s="56">
        <v>6333000</v>
      </c>
      <c r="H57" s="49">
        <v>0</v>
      </c>
      <c r="I57" s="49">
        <v>0</v>
      </c>
      <c r="J57" s="56">
        <v>316650</v>
      </c>
      <c r="K57" s="56">
        <v>1671000</v>
      </c>
      <c r="L57" s="56">
        <v>0</v>
      </c>
      <c r="M57" s="56">
        <v>4000000</v>
      </c>
      <c r="N57" s="56">
        <v>1003150</v>
      </c>
      <c r="O57" s="56">
        <v>0</v>
      </c>
      <c r="P57" s="56">
        <f t="shared" si="3"/>
        <v>6674150</v>
      </c>
      <c r="Q57" s="56">
        <f t="shared" si="1"/>
        <v>-24500</v>
      </c>
    </row>
    <row r="58" ht="12.9" customHeight="1" spans="1:17">
      <c r="A58" s="46">
        <v>53</v>
      </c>
      <c r="B58" s="45" t="s">
        <v>174</v>
      </c>
      <c r="C58" s="46">
        <v>1660</v>
      </c>
      <c r="D58" s="56">
        <f t="shared" si="0"/>
        <v>3515.06024096386</v>
      </c>
      <c r="E58" s="45" t="s">
        <v>175</v>
      </c>
      <c r="F58" s="57">
        <v>44469</v>
      </c>
      <c r="G58" s="56">
        <v>5835000</v>
      </c>
      <c r="H58" s="49">
        <v>0</v>
      </c>
      <c r="I58" s="49">
        <v>0</v>
      </c>
      <c r="J58" s="56">
        <v>329617</v>
      </c>
      <c r="K58" s="56">
        <v>0</v>
      </c>
      <c r="L58" s="56">
        <v>0</v>
      </c>
      <c r="M58" s="56">
        <v>4225000</v>
      </c>
      <c r="N58" s="56">
        <v>1835750</v>
      </c>
      <c r="O58" s="56">
        <v>103867</v>
      </c>
      <c r="P58" s="56">
        <f t="shared" si="3"/>
        <v>6164617</v>
      </c>
      <c r="Q58" s="56">
        <f t="shared" si="1"/>
        <v>0</v>
      </c>
    </row>
    <row r="59" ht="12.9" customHeight="1" spans="1:17">
      <c r="A59" s="46">
        <v>54</v>
      </c>
      <c r="B59" s="45" t="s">
        <v>176</v>
      </c>
      <c r="C59" s="46">
        <v>1660</v>
      </c>
      <c r="D59" s="56">
        <f t="shared" si="0"/>
        <v>4216.86746987952</v>
      </c>
      <c r="E59" s="45" t="s">
        <v>177</v>
      </c>
      <c r="F59" s="57">
        <v>43783</v>
      </c>
      <c r="G59" s="56">
        <v>7000000</v>
      </c>
      <c r="H59" s="49">
        <v>0</v>
      </c>
      <c r="I59" s="49">
        <v>0</v>
      </c>
      <c r="J59" s="56">
        <v>474000</v>
      </c>
      <c r="K59" s="56">
        <v>1275000</v>
      </c>
      <c r="L59" s="56">
        <v>2735000</v>
      </c>
      <c r="M59" s="56">
        <v>1658000</v>
      </c>
      <c r="N59" s="56">
        <v>1806000</v>
      </c>
      <c r="O59" s="56">
        <v>0</v>
      </c>
      <c r="P59" s="56">
        <f t="shared" si="3"/>
        <v>7474000</v>
      </c>
      <c r="Q59" s="56">
        <f t="shared" si="1"/>
        <v>0</v>
      </c>
    </row>
    <row r="60" ht="12.9" customHeight="1" spans="1:17">
      <c r="A60" s="46">
        <v>55</v>
      </c>
      <c r="B60" s="45" t="s">
        <v>178</v>
      </c>
      <c r="C60" s="46">
        <v>1660</v>
      </c>
      <c r="D60" s="56">
        <f t="shared" si="0"/>
        <v>4765.06024096385</v>
      </c>
      <c r="E60" s="45" t="s">
        <v>179</v>
      </c>
      <c r="F60" s="57">
        <v>44363</v>
      </c>
      <c r="G60" s="56">
        <v>7910000</v>
      </c>
      <c r="H60" s="49">
        <v>0</v>
      </c>
      <c r="I60" s="49">
        <v>0</v>
      </c>
      <c r="J60" s="56">
        <v>426328</v>
      </c>
      <c r="K60" s="56">
        <v>0</v>
      </c>
      <c r="L60" s="56">
        <v>0</v>
      </c>
      <c r="M60" s="56">
        <v>6545000</v>
      </c>
      <c r="N60" s="56">
        <v>1791328</v>
      </c>
      <c r="O60" s="56">
        <v>0</v>
      </c>
      <c r="P60" s="56">
        <f t="shared" si="3"/>
        <v>8336328</v>
      </c>
      <c r="Q60" s="56">
        <f t="shared" si="1"/>
        <v>0</v>
      </c>
    </row>
    <row r="61" ht="12.9" customHeight="1" spans="1:17">
      <c r="A61" s="46">
        <v>56</v>
      </c>
      <c r="B61" s="45" t="s">
        <v>180</v>
      </c>
      <c r="C61" s="46">
        <v>1660</v>
      </c>
      <c r="D61" s="56">
        <f t="shared" si="0"/>
        <v>4451.80722891566</v>
      </c>
      <c r="E61" s="45" t="s">
        <v>181</v>
      </c>
      <c r="F61" s="57">
        <v>44561</v>
      </c>
      <c r="G61" s="56">
        <v>7390000</v>
      </c>
      <c r="H61" s="49">
        <v>0</v>
      </c>
      <c r="I61" s="49">
        <v>0</v>
      </c>
      <c r="J61" s="56">
        <v>531898</v>
      </c>
      <c r="K61" s="56">
        <v>0</v>
      </c>
      <c r="L61" s="56">
        <v>0</v>
      </c>
      <c r="M61" s="56">
        <v>5738300</v>
      </c>
      <c r="N61" s="56">
        <v>2065598</v>
      </c>
      <c r="O61" s="56">
        <v>118000</v>
      </c>
      <c r="P61" s="56">
        <f t="shared" si="3"/>
        <v>7921898</v>
      </c>
      <c r="Q61" s="56">
        <f t="shared" si="1"/>
        <v>0</v>
      </c>
    </row>
    <row r="62" ht="12.9" customHeight="1" spans="1:17">
      <c r="A62" s="46">
        <v>57</v>
      </c>
      <c r="B62" s="45" t="s">
        <v>182</v>
      </c>
      <c r="C62" s="46">
        <v>1660</v>
      </c>
      <c r="D62" s="56">
        <f t="shared" si="0"/>
        <v>4765.06024096385</v>
      </c>
      <c r="E62" s="45" t="s">
        <v>183</v>
      </c>
      <c r="F62" s="57">
        <v>44329</v>
      </c>
      <c r="G62" s="56">
        <v>7910000</v>
      </c>
      <c r="H62" s="49">
        <v>0</v>
      </c>
      <c r="I62" s="49">
        <v>0</v>
      </c>
      <c r="J62" s="56">
        <v>578878</v>
      </c>
      <c r="K62" s="56">
        <v>0</v>
      </c>
      <c r="L62" s="56">
        <v>0</v>
      </c>
      <c r="M62" s="56">
        <v>6489000</v>
      </c>
      <c r="N62" s="56">
        <v>1999878</v>
      </c>
      <c r="O62" s="56">
        <v>0</v>
      </c>
      <c r="P62" s="56">
        <f t="shared" si="3"/>
        <v>8488878</v>
      </c>
      <c r="Q62" s="56">
        <f t="shared" si="1"/>
        <v>0</v>
      </c>
    </row>
    <row r="63" ht="12.9" customHeight="1" spans="1:17">
      <c r="A63" s="46">
        <v>58</v>
      </c>
      <c r="B63" s="45" t="s">
        <v>184</v>
      </c>
      <c r="C63" s="46">
        <v>1660</v>
      </c>
      <c r="D63" s="56">
        <f t="shared" si="0"/>
        <v>4256.6265060241</v>
      </c>
      <c r="E63" s="45" t="s">
        <v>185</v>
      </c>
      <c r="F63" s="57">
        <v>44075</v>
      </c>
      <c r="G63" s="56">
        <v>7066000</v>
      </c>
      <c r="H63" s="49">
        <v>0</v>
      </c>
      <c r="I63" s="49">
        <v>0</v>
      </c>
      <c r="J63" s="56">
        <v>566020</v>
      </c>
      <c r="K63" s="56">
        <v>0</v>
      </c>
      <c r="L63" s="56">
        <v>1225000</v>
      </c>
      <c r="M63" s="56">
        <v>4528000</v>
      </c>
      <c r="N63" s="56">
        <v>1879020</v>
      </c>
      <c r="O63" s="56">
        <v>0</v>
      </c>
      <c r="P63" s="56">
        <f t="shared" si="3"/>
        <v>7632020</v>
      </c>
      <c r="Q63" s="56">
        <f t="shared" si="1"/>
        <v>0</v>
      </c>
    </row>
    <row r="64" ht="12.9" customHeight="1" spans="1:17">
      <c r="A64" s="46">
        <v>59</v>
      </c>
      <c r="B64" s="45" t="s">
        <v>186</v>
      </c>
      <c r="C64" s="46">
        <v>1660</v>
      </c>
      <c r="D64" s="56">
        <v>5995.78313253012</v>
      </c>
      <c r="E64" s="45" t="s">
        <v>187</v>
      </c>
      <c r="F64" s="57">
        <v>45311</v>
      </c>
      <c r="G64" s="56">
        <v>9953000</v>
      </c>
      <c r="H64" s="49"/>
      <c r="I64" s="49"/>
      <c r="J64" s="56">
        <v>407600</v>
      </c>
      <c r="K64" s="56">
        <v>0</v>
      </c>
      <c r="L64" s="56">
        <v>0</v>
      </c>
      <c r="M64" s="56">
        <v>0</v>
      </c>
      <c r="N64" s="56">
        <v>0</v>
      </c>
      <c r="O64" s="56">
        <v>8152000</v>
      </c>
      <c r="P64" s="56">
        <f t="shared" si="3"/>
        <v>8152000</v>
      </c>
      <c r="Q64" s="56">
        <f>G64+J64-P64</f>
        <v>2208600</v>
      </c>
    </row>
    <row r="65" ht="12.9" customHeight="1" spans="1:17">
      <c r="A65" s="46">
        <v>60</v>
      </c>
      <c r="B65" s="45" t="s">
        <v>188</v>
      </c>
      <c r="C65" s="46">
        <v>1660</v>
      </c>
      <c r="D65" s="56">
        <f>G65/C65</f>
        <v>4130.72289156627</v>
      </c>
      <c r="E65" s="45" t="s">
        <v>189</v>
      </c>
      <c r="F65" s="57">
        <v>44498</v>
      </c>
      <c r="G65" s="56">
        <v>6857000</v>
      </c>
      <c r="H65" s="49">
        <v>0</v>
      </c>
      <c r="I65" s="49">
        <v>0</v>
      </c>
      <c r="J65" s="56">
        <v>609350</v>
      </c>
      <c r="K65" s="56">
        <v>0</v>
      </c>
      <c r="L65" s="56">
        <v>0</v>
      </c>
      <c r="M65" s="56">
        <v>4025000</v>
      </c>
      <c r="N65" s="56">
        <v>3441350</v>
      </c>
      <c r="O65" s="56">
        <v>0</v>
      </c>
      <c r="P65" s="56">
        <f t="shared" si="3"/>
        <v>7466350</v>
      </c>
      <c r="Q65" s="56">
        <f>G65+J65-P65</f>
        <v>0</v>
      </c>
    </row>
    <row r="66" ht="12.9" customHeight="1" spans="1:17">
      <c r="A66" s="46">
        <v>61</v>
      </c>
      <c r="B66" s="45" t="s">
        <v>190</v>
      </c>
      <c r="C66" s="46">
        <v>1660</v>
      </c>
      <c r="D66" s="56">
        <f>G66/C66</f>
        <v>4715.06024096385</v>
      </c>
      <c r="E66" s="45" t="s">
        <v>191</v>
      </c>
      <c r="F66" s="57">
        <v>44206</v>
      </c>
      <c r="G66" s="56">
        <v>7827000</v>
      </c>
      <c r="H66" s="49">
        <v>0</v>
      </c>
      <c r="I66" s="49">
        <v>0</v>
      </c>
      <c r="J66" s="56">
        <v>430096</v>
      </c>
      <c r="K66" s="56">
        <v>0</v>
      </c>
      <c r="L66" s="56">
        <v>2022000</v>
      </c>
      <c r="M66" s="56">
        <v>4359000</v>
      </c>
      <c r="N66" s="56">
        <v>1246000</v>
      </c>
      <c r="O66" s="56">
        <v>630096</v>
      </c>
      <c r="P66" s="56">
        <f t="shared" si="3"/>
        <v>8257096</v>
      </c>
      <c r="Q66" s="56">
        <f>G66+J66-P66</f>
        <v>0</v>
      </c>
    </row>
    <row r="67" ht="12.9" customHeight="1" spans="1:17">
      <c r="A67" s="46">
        <v>62</v>
      </c>
      <c r="B67" s="45" t="s">
        <v>192</v>
      </c>
      <c r="C67" s="46">
        <v>1660</v>
      </c>
      <c r="D67" s="56">
        <f>G67/C67</f>
        <v>4665.66265060241</v>
      </c>
      <c r="E67" s="45" t="s">
        <v>193</v>
      </c>
      <c r="F67" s="57">
        <v>44280</v>
      </c>
      <c r="G67" s="56">
        <v>7745000</v>
      </c>
      <c r="H67" s="49">
        <v>0</v>
      </c>
      <c r="I67" s="49">
        <v>0</v>
      </c>
      <c r="J67" s="56">
        <v>335078</v>
      </c>
      <c r="K67" s="56">
        <v>0</v>
      </c>
      <c r="L67" s="56">
        <v>25000</v>
      </c>
      <c r="M67" s="56">
        <v>6301500</v>
      </c>
      <c r="N67" s="56">
        <v>0</v>
      </c>
      <c r="O67" s="56">
        <v>1753578</v>
      </c>
      <c r="P67" s="56">
        <f t="shared" si="3"/>
        <v>8080078</v>
      </c>
      <c r="Q67" s="56">
        <f>G67+J67-P67</f>
        <v>0</v>
      </c>
    </row>
    <row r="68" ht="12.9" customHeight="1" spans="1:17">
      <c r="A68" s="46">
        <v>63</v>
      </c>
      <c r="B68" s="45" t="s">
        <v>194</v>
      </c>
      <c r="C68" s="46">
        <v>1660</v>
      </c>
      <c r="D68" s="56">
        <f>G68/C68</f>
        <v>3852.40963855422</v>
      </c>
      <c r="E68" s="45" t="s">
        <v>195</v>
      </c>
      <c r="F68" s="57">
        <v>44132</v>
      </c>
      <c r="G68" s="56">
        <v>6395000</v>
      </c>
      <c r="H68" s="49">
        <v>0</v>
      </c>
      <c r="I68" s="49">
        <v>0</v>
      </c>
      <c r="J68" s="56">
        <v>314990</v>
      </c>
      <c r="K68" s="56">
        <v>0</v>
      </c>
      <c r="L68" s="56">
        <v>841500</v>
      </c>
      <c r="M68" s="56">
        <v>4169700</v>
      </c>
      <c r="N68" s="56">
        <v>0</v>
      </c>
      <c r="O68" s="56">
        <v>1683800</v>
      </c>
      <c r="P68" s="56">
        <f t="shared" si="3"/>
        <v>6695000</v>
      </c>
      <c r="Q68" s="56">
        <f>G68+J68-P68</f>
        <v>14990</v>
      </c>
    </row>
    <row r="69" ht="12.9" customHeight="1" spans="1:17">
      <c r="A69" s="46">
        <v>64</v>
      </c>
      <c r="B69" s="45" t="s">
        <v>196</v>
      </c>
      <c r="C69" s="46">
        <v>1660</v>
      </c>
      <c r="D69" s="56">
        <f>G69/C69</f>
        <v>3852.40963855422</v>
      </c>
      <c r="E69" s="45" t="s">
        <v>197</v>
      </c>
      <c r="F69" s="57">
        <v>44130</v>
      </c>
      <c r="G69" s="56">
        <v>6395000</v>
      </c>
      <c r="H69" s="49">
        <v>0</v>
      </c>
      <c r="I69" s="49">
        <v>0</v>
      </c>
      <c r="J69" s="56">
        <v>314990</v>
      </c>
      <c r="K69" s="56">
        <v>0</v>
      </c>
      <c r="L69" s="56">
        <v>841500</v>
      </c>
      <c r="M69" s="56">
        <v>4169700</v>
      </c>
      <c r="N69" s="56">
        <v>0</v>
      </c>
      <c r="O69" s="56">
        <v>1698790</v>
      </c>
      <c r="P69" s="56">
        <f t="shared" si="3"/>
        <v>6709990</v>
      </c>
      <c r="Q69" s="56">
        <f>G69+J69-P69</f>
        <v>0</v>
      </c>
    </row>
    <row r="70" ht="12.9" customHeight="1" spans="1:17">
      <c r="A70" s="46">
        <v>65</v>
      </c>
      <c r="B70" s="45" t="s">
        <v>198</v>
      </c>
      <c r="C70" s="46">
        <v>1660</v>
      </c>
      <c r="D70" s="56">
        <f>G70/C70</f>
        <v>3714.4578313253</v>
      </c>
      <c r="E70" s="45" t="s">
        <v>199</v>
      </c>
      <c r="F70" s="57">
        <v>44099</v>
      </c>
      <c r="G70" s="56">
        <v>6166000</v>
      </c>
      <c r="H70" s="49">
        <v>0</v>
      </c>
      <c r="I70" s="49">
        <v>0</v>
      </c>
      <c r="J70" s="56">
        <v>308300</v>
      </c>
      <c r="K70" s="56">
        <v>0</v>
      </c>
      <c r="L70" s="56">
        <v>845000</v>
      </c>
      <c r="M70" s="56">
        <v>3960724</v>
      </c>
      <c r="N70" s="56">
        <v>0</v>
      </c>
      <c r="O70" s="56">
        <v>1400000</v>
      </c>
      <c r="P70" s="56">
        <f t="shared" si="3"/>
        <v>6205724</v>
      </c>
      <c r="Q70" s="56">
        <f>G70+J70-P70</f>
        <v>268576</v>
      </c>
    </row>
    <row r="71" ht="12.9" customHeight="1" spans="1:17">
      <c r="A71" s="46">
        <v>66</v>
      </c>
      <c r="B71" s="45" t="s">
        <v>200</v>
      </c>
      <c r="C71" s="46">
        <v>1660</v>
      </c>
      <c r="D71" s="56">
        <f t="shared" ref="D71:D79" si="4">G71/C71</f>
        <v>4215.66265060241</v>
      </c>
      <c r="E71" s="45" t="s">
        <v>201</v>
      </c>
      <c r="F71" s="57">
        <v>43885</v>
      </c>
      <c r="G71" s="56">
        <v>6998000</v>
      </c>
      <c r="H71" s="49">
        <v>0</v>
      </c>
      <c r="I71" s="49">
        <v>0</v>
      </c>
      <c r="J71" s="56">
        <v>440047</v>
      </c>
      <c r="K71" s="56">
        <v>227250</v>
      </c>
      <c r="L71" s="56">
        <v>1717400</v>
      </c>
      <c r="M71" s="56">
        <v>3866000</v>
      </c>
      <c r="N71" s="56">
        <v>0</v>
      </c>
      <c r="O71" s="56">
        <v>1568078</v>
      </c>
      <c r="P71" s="56">
        <f t="shared" ref="P71:P102" si="5">SUM(K71:O71)</f>
        <v>7378728</v>
      </c>
      <c r="Q71" s="56">
        <f t="shared" ref="Q71:Q134" si="6">G71+J71-P71</f>
        <v>59319</v>
      </c>
    </row>
    <row r="72" ht="12.9" customHeight="1" spans="1:17">
      <c r="A72" s="46">
        <v>67</v>
      </c>
      <c r="B72" s="45" t="s">
        <v>202</v>
      </c>
      <c r="C72" s="46">
        <v>1660</v>
      </c>
      <c r="D72" s="56">
        <f t="shared" si="4"/>
        <v>4390.36144578313</v>
      </c>
      <c r="E72" s="45" t="s">
        <v>203</v>
      </c>
      <c r="F72" s="57">
        <v>43842</v>
      </c>
      <c r="G72" s="56">
        <v>7288000</v>
      </c>
      <c r="H72" s="49">
        <v>0</v>
      </c>
      <c r="I72" s="49">
        <v>0</v>
      </c>
      <c r="J72" s="56">
        <v>354400</v>
      </c>
      <c r="K72" s="56">
        <v>1318000</v>
      </c>
      <c r="L72" s="56">
        <v>577000</v>
      </c>
      <c r="M72" s="56">
        <v>2308000</v>
      </c>
      <c r="N72" s="56">
        <v>1731000</v>
      </c>
      <c r="O72" s="56">
        <v>1692169</v>
      </c>
      <c r="P72" s="56">
        <f t="shared" si="5"/>
        <v>7626169</v>
      </c>
      <c r="Q72" s="56">
        <f t="shared" si="6"/>
        <v>16231</v>
      </c>
    </row>
    <row r="73" ht="12.9" customHeight="1" spans="1:17">
      <c r="A73" s="46">
        <v>68</v>
      </c>
      <c r="B73" s="45" t="s">
        <v>204</v>
      </c>
      <c r="C73" s="46">
        <v>1660</v>
      </c>
      <c r="D73" s="56">
        <f t="shared" si="4"/>
        <v>4965.06024096385</v>
      </c>
      <c r="E73" s="45" t="s">
        <v>205</v>
      </c>
      <c r="F73" s="57">
        <v>44402</v>
      </c>
      <c r="G73" s="56">
        <v>8242000</v>
      </c>
      <c r="H73" s="49">
        <v>0</v>
      </c>
      <c r="I73" s="49">
        <v>0</v>
      </c>
      <c r="J73" s="56">
        <v>410108</v>
      </c>
      <c r="K73" s="56">
        <v>0</v>
      </c>
      <c r="L73" s="56">
        <v>0</v>
      </c>
      <c r="M73" s="56">
        <v>4219000</v>
      </c>
      <c r="N73" s="56">
        <v>4465928</v>
      </c>
      <c r="O73" s="56">
        <v>0</v>
      </c>
      <c r="P73" s="56">
        <f t="shared" si="5"/>
        <v>8684928</v>
      </c>
      <c r="Q73" s="56">
        <f t="shared" si="6"/>
        <v>-32820</v>
      </c>
    </row>
    <row r="74" ht="12.9" customHeight="1" spans="1:17">
      <c r="A74" s="46">
        <v>69</v>
      </c>
      <c r="B74" s="45" t="s">
        <v>206</v>
      </c>
      <c r="C74" s="46">
        <v>1660</v>
      </c>
      <c r="D74" s="56">
        <f t="shared" si="4"/>
        <v>4277.10843373494</v>
      </c>
      <c r="E74" s="45" t="s">
        <v>207</v>
      </c>
      <c r="F74" s="57">
        <v>43818</v>
      </c>
      <c r="G74" s="56">
        <v>7100000</v>
      </c>
      <c r="H74" s="49">
        <v>0</v>
      </c>
      <c r="I74" s="49">
        <v>0</v>
      </c>
      <c r="J74" s="56">
        <v>432609</v>
      </c>
      <c r="K74" s="56">
        <v>1290000</v>
      </c>
      <c r="L74" s="56">
        <v>3009750</v>
      </c>
      <c r="M74" s="56">
        <v>1767150</v>
      </c>
      <c r="N74" s="56">
        <v>1388100</v>
      </c>
      <c r="O74" s="56">
        <v>77609</v>
      </c>
      <c r="P74" s="56">
        <f t="shared" si="5"/>
        <v>7532609</v>
      </c>
      <c r="Q74" s="56">
        <f t="shared" si="6"/>
        <v>0</v>
      </c>
    </row>
    <row r="75" ht="12.9" customHeight="1" spans="1:17">
      <c r="A75" s="46">
        <v>70</v>
      </c>
      <c r="B75" s="45" t="s">
        <v>208</v>
      </c>
      <c r="C75" s="46">
        <v>1660</v>
      </c>
      <c r="D75" s="56">
        <f t="shared" si="4"/>
        <v>4215.06024096385</v>
      </c>
      <c r="E75" s="45" t="s">
        <v>209</v>
      </c>
      <c r="F75" s="57">
        <v>43880</v>
      </c>
      <c r="G75" s="56">
        <v>6997000</v>
      </c>
      <c r="H75" s="49">
        <v>0</v>
      </c>
      <c r="I75" s="49">
        <v>0</v>
      </c>
      <c r="J75" s="56">
        <v>349850</v>
      </c>
      <c r="K75" s="56">
        <v>225000</v>
      </c>
      <c r="L75" s="56">
        <v>1075000</v>
      </c>
      <c r="M75" s="56">
        <v>2736000</v>
      </c>
      <c r="N75" s="56">
        <v>1657000</v>
      </c>
      <c r="O75" s="56">
        <v>1653850</v>
      </c>
      <c r="P75" s="56">
        <f t="shared" si="5"/>
        <v>7346850</v>
      </c>
      <c r="Q75" s="56">
        <f t="shared" si="6"/>
        <v>0</v>
      </c>
    </row>
    <row r="76" ht="12.9" customHeight="1" spans="1:17">
      <c r="A76" s="46">
        <v>71</v>
      </c>
      <c r="B76" s="45" t="s">
        <v>210</v>
      </c>
      <c r="C76" s="46">
        <v>1660</v>
      </c>
      <c r="D76" s="56">
        <f t="shared" si="4"/>
        <v>3912.65060240964</v>
      </c>
      <c r="E76" s="45" t="s">
        <v>211</v>
      </c>
      <c r="F76" s="57">
        <v>44135</v>
      </c>
      <c r="G76" s="56">
        <v>6495000</v>
      </c>
      <c r="H76" s="49">
        <v>0</v>
      </c>
      <c r="I76" s="49">
        <v>0</v>
      </c>
      <c r="J76" s="56">
        <v>272578</v>
      </c>
      <c r="K76" s="56">
        <v>0</v>
      </c>
      <c r="L76" s="56">
        <v>349000</v>
      </c>
      <c r="M76" s="56">
        <v>609000</v>
      </c>
      <c r="N76" s="56">
        <v>3615125</v>
      </c>
      <c r="O76" s="56">
        <v>2277453</v>
      </c>
      <c r="P76" s="56">
        <f t="shared" si="5"/>
        <v>6850578</v>
      </c>
      <c r="Q76" s="56">
        <f t="shared" si="6"/>
        <v>-83000</v>
      </c>
    </row>
    <row r="77" ht="12.9" customHeight="1" spans="1:17">
      <c r="A77" s="46">
        <v>72</v>
      </c>
      <c r="B77" s="45" t="s">
        <v>212</v>
      </c>
      <c r="C77" s="46">
        <v>1660</v>
      </c>
      <c r="D77" s="56">
        <f t="shared" si="4"/>
        <v>4290.36144578313</v>
      </c>
      <c r="E77" s="45" t="s">
        <v>213</v>
      </c>
      <c r="F77" s="57">
        <v>43832</v>
      </c>
      <c r="G77" s="56">
        <v>7122000</v>
      </c>
      <c r="H77" s="49">
        <v>0</v>
      </c>
      <c r="I77" s="49">
        <v>0</v>
      </c>
      <c r="J77" s="56">
        <v>361528</v>
      </c>
      <c r="K77" s="56">
        <v>1293300</v>
      </c>
      <c r="L77" s="56">
        <v>13920</v>
      </c>
      <c r="M77" s="56">
        <f>2778560+22520</f>
        <v>2801080</v>
      </c>
      <c r="N77" s="56">
        <v>1689000</v>
      </c>
      <c r="O77" s="56">
        <v>1589439</v>
      </c>
      <c r="P77" s="56">
        <f t="shared" si="5"/>
        <v>7386739</v>
      </c>
      <c r="Q77" s="56">
        <f t="shared" si="6"/>
        <v>96789</v>
      </c>
    </row>
    <row r="78" ht="12.9" customHeight="1" spans="1:17">
      <c r="A78" s="46">
        <v>73</v>
      </c>
      <c r="B78" s="45" t="s">
        <v>214</v>
      </c>
      <c r="C78" s="46">
        <v>1660</v>
      </c>
      <c r="D78" s="56">
        <f t="shared" si="4"/>
        <v>3972.89156626506</v>
      </c>
      <c r="E78" s="45" t="s">
        <v>215</v>
      </c>
      <c r="F78" s="57">
        <v>44129</v>
      </c>
      <c r="G78" s="56">
        <v>6595000</v>
      </c>
      <c r="H78" s="49">
        <v>0</v>
      </c>
      <c r="I78" s="49">
        <v>0</v>
      </c>
      <c r="J78" s="56">
        <v>330289</v>
      </c>
      <c r="K78" s="56">
        <v>0</v>
      </c>
      <c r="L78" s="56">
        <v>474000</v>
      </c>
      <c r="M78" s="56">
        <v>2985900</v>
      </c>
      <c r="N78" s="56">
        <v>1792800</v>
      </c>
      <c r="O78" s="56">
        <v>1619878</v>
      </c>
      <c r="P78" s="56">
        <f t="shared" si="5"/>
        <v>6872578</v>
      </c>
      <c r="Q78" s="56">
        <f t="shared" si="6"/>
        <v>52711</v>
      </c>
    </row>
    <row r="79" ht="12.9" customHeight="1" spans="1:17">
      <c r="A79" s="46">
        <v>74</v>
      </c>
      <c r="B79" s="45" t="s">
        <v>216</v>
      </c>
      <c r="C79" s="46">
        <v>1660</v>
      </c>
      <c r="D79" s="56">
        <f t="shared" si="4"/>
        <v>4315.66265060241</v>
      </c>
      <c r="E79" s="45" t="s">
        <v>217</v>
      </c>
      <c r="F79" s="57">
        <v>43880</v>
      </c>
      <c r="G79" s="56">
        <v>7164000</v>
      </c>
      <c r="H79" s="49">
        <v>0</v>
      </c>
      <c r="I79" s="49">
        <v>0</v>
      </c>
      <c r="J79" s="56">
        <v>266269</v>
      </c>
      <c r="K79" s="56">
        <v>1300000</v>
      </c>
      <c r="L79" s="56">
        <v>566000</v>
      </c>
      <c r="M79" s="56">
        <v>2266000</v>
      </c>
      <c r="N79" s="56">
        <v>1700000</v>
      </c>
      <c r="O79" s="56">
        <v>1598269</v>
      </c>
      <c r="P79" s="56">
        <f t="shared" si="5"/>
        <v>7430269</v>
      </c>
      <c r="Q79" s="56">
        <f t="shared" si="6"/>
        <v>0</v>
      </c>
    </row>
    <row r="80" ht="12.9" customHeight="1" spans="1:17">
      <c r="A80" s="46">
        <v>75</v>
      </c>
      <c r="B80" s="45" t="s">
        <v>218</v>
      </c>
      <c r="C80" s="46">
        <v>1660</v>
      </c>
      <c r="D80" s="56"/>
      <c r="E80" s="45" t="s">
        <v>219</v>
      </c>
      <c r="F80" s="57">
        <v>45262</v>
      </c>
      <c r="G80" s="56">
        <v>9783000</v>
      </c>
      <c r="H80" s="49">
        <v>0</v>
      </c>
      <c r="I80" s="49">
        <v>0</v>
      </c>
      <c r="J80" s="56">
        <v>0</v>
      </c>
      <c r="K80" s="56"/>
      <c r="L80" s="56"/>
      <c r="M80" s="56"/>
      <c r="N80" s="56"/>
      <c r="O80" s="56">
        <v>3001000</v>
      </c>
      <c r="P80" s="56">
        <f t="shared" si="5"/>
        <v>3001000</v>
      </c>
      <c r="Q80" s="56">
        <f t="shared" si="6"/>
        <v>6782000</v>
      </c>
    </row>
    <row r="81" ht="12.9" customHeight="1" spans="1:17">
      <c r="A81" s="46">
        <v>76</v>
      </c>
      <c r="B81" s="45" t="s">
        <v>220</v>
      </c>
      <c r="C81" s="46">
        <v>1660</v>
      </c>
      <c r="D81" s="56">
        <f t="shared" ref="D81:D144" si="7">G81/C81</f>
        <v>5114.4578313253</v>
      </c>
      <c r="E81" s="45" t="s">
        <v>221</v>
      </c>
      <c r="F81" s="57">
        <v>44763</v>
      </c>
      <c r="G81" s="56">
        <v>8490000</v>
      </c>
      <c r="H81" s="49">
        <v>0</v>
      </c>
      <c r="I81" s="49">
        <v>0</v>
      </c>
      <c r="J81" s="56">
        <v>335350</v>
      </c>
      <c r="K81" s="56">
        <v>0</v>
      </c>
      <c r="L81" s="56">
        <v>0</v>
      </c>
      <c r="M81" s="56">
        <v>0</v>
      </c>
      <c r="N81" s="56">
        <v>7003000</v>
      </c>
      <c r="O81" s="56">
        <v>1942328</v>
      </c>
      <c r="P81" s="56">
        <f t="shared" si="5"/>
        <v>8945328</v>
      </c>
      <c r="Q81" s="56">
        <f t="shared" si="6"/>
        <v>-119978</v>
      </c>
    </row>
    <row r="82" ht="12.9" customHeight="1" spans="1:17">
      <c r="A82" s="46">
        <v>77</v>
      </c>
      <c r="B82" s="45" t="s">
        <v>222</v>
      </c>
      <c r="C82" s="46">
        <v>1660</v>
      </c>
      <c r="D82" s="56">
        <f t="shared" si="7"/>
        <v>4487.95180722892</v>
      </c>
      <c r="E82" s="45" t="s">
        <v>223</v>
      </c>
      <c r="F82" s="57">
        <v>44580</v>
      </c>
      <c r="G82" s="56">
        <v>7450000</v>
      </c>
      <c r="H82" s="49">
        <v>0</v>
      </c>
      <c r="I82" s="49">
        <v>0</v>
      </c>
      <c r="J82" s="56">
        <v>568451</v>
      </c>
      <c r="K82" s="56">
        <v>0</v>
      </c>
      <c r="L82" s="56">
        <v>0</v>
      </c>
      <c r="M82" s="56">
        <v>3650000</v>
      </c>
      <c r="N82" s="56">
        <v>2255064</v>
      </c>
      <c r="O82" s="56">
        <v>2113387</v>
      </c>
      <c r="P82" s="56">
        <f t="shared" si="5"/>
        <v>8018451</v>
      </c>
      <c r="Q82" s="56">
        <f t="shared" si="6"/>
        <v>0</v>
      </c>
    </row>
    <row r="83" ht="12.9" customHeight="1" spans="1:17">
      <c r="A83" s="46">
        <v>78</v>
      </c>
      <c r="B83" s="45" t="s">
        <v>224</v>
      </c>
      <c r="C83" s="46">
        <v>1660</v>
      </c>
      <c r="D83" s="56">
        <f t="shared" si="7"/>
        <v>4215.06024096385</v>
      </c>
      <c r="E83" s="45" t="s">
        <v>225</v>
      </c>
      <c r="F83" s="57">
        <v>43833</v>
      </c>
      <c r="G83" s="56">
        <v>6997000</v>
      </c>
      <c r="H83" s="49">
        <v>0</v>
      </c>
      <c r="I83" s="49">
        <v>0</v>
      </c>
      <c r="J83" s="56">
        <v>390959</v>
      </c>
      <c r="K83" s="56">
        <v>1300000</v>
      </c>
      <c r="L83" s="56">
        <v>483000</v>
      </c>
      <c r="M83" s="56">
        <v>2182000</v>
      </c>
      <c r="N83" s="56">
        <v>1699000</v>
      </c>
      <c r="O83" s="56">
        <v>1723959</v>
      </c>
      <c r="P83" s="56">
        <f t="shared" si="5"/>
        <v>7387959</v>
      </c>
      <c r="Q83" s="56">
        <f t="shared" si="6"/>
        <v>0</v>
      </c>
    </row>
    <row r="84" ht="12.9" customHeight="1" spans="1:17">
      <c r="A84" s="46">
        <v>79</v>
      </c>
      <c r="B84" s="45" t="s">
        <v>226</v>
      </c>
      <c r="C84" s="46">
        <v>1660</v>
      </c>
      <c r="D84" s="56">
        <f t="shared" si="7"/>
        <v>5934.93975903615</v>
      </c>
      <c r="E84" s="45" t="s">
        <v>227</v>
      </c>
      <c r="F84" s="57">
        <v>45034</v>
      </c>
      <c r="G84" s="56">
        <v>9852000</v>
      </c>
      <c r="H84" s="49">
        <v>0</v>
      </c>
      <c r="I84" s="49">
        <v>0</v>
      </c>
      <c r="J84" s="56">
        <v>492600</v>
      </c>
      <c r="K84" s="56">
        <v>0</v>
      </c>
      <c r="L84" s="56">
        <v>0</v>
      </c>
      <c r="M84" s="56">
        <v>0</v>
      </c>
      <c r="N84" s="56">
        <v>0</v>
      </c>
      <c r="O84" s="56">
        <v>10411162</v>
      </c>
      <c r="P84" s="56">
        <f t="shared" si="5"/>
        <v>10411162</v>
      </c>
      <c r="Q84" s="56">
        <f t="shared" si="6"/>
        <v>-66562</v>
      </c>
    </row>
    <row r="85" ht="12.9" customHeight="1" spans="1:17">
      <c r="A85" s="46">
        <v>80</v>
      </c>
      <c r="B85" s="45" t="s">
        <v>228</v>
      </c>
      <c r="C85" s="46">
        <v>1660</v>
      </c>
      <c r="D85" s="56">
        <f t="shared" si="7"/>
        <v>5457.8313253012</v>
      </c>
      <c r="E85" s="45" t="s">
        <v>229</v>
      </c>
      <c r="F85" s="57">
        <v>44620</v>
      </c>
      <c r="G85" s="56">
        <v>9060000</v>
      </c>
      <c r="H85" s="49">
        <v>0</v>
      </c>
      <c r="I85" s="49">
        <v>0</v>
      </c>
      <c r="J85" s="56">
        <v>453000</v>
      </c>
      <c r="K85" s="56">
        <v>0</v>
      </c>
      <c r="L85" s="56">
        <v>0</v>
      </c>
      <c r="M85" s="56">
        <v>236250</v>
      </c>
      <c r="N85" s="56">
        <v>7237190</v>
      </c>
      <c r="O85" s="56">
        <v>2131504</v>
      </c>
      <c r="P85" s="56">
        <f t="shared" si="5"/>
        <v>9604944</v>
      </c>
      <c r="Q85" s="56">
        <f t="shared" si="6"/>
        <v>-91944</v>
      </c>
    </row>
    <row r="86" ht="12.9" customHeight="1" spans="1:17">
      <c r="A86" s="46">
        <v>81</v>
      </c>
      <c r="B86" s="45" t="s">
        <v>230</v>
      </c>
      <c r="C86" s="46">
        <v>1660</v>
      </c>
      <c r="D86" s="56">
        <f t="shared" si="7"/>
        <v>5895.18072289157</v>
      </c>
      <c r="E86" s="45" t="s">
        <v>231</v>
      </c>
      <c r="F86" s="57">
        <v>45024</v>
      </c>
      <c r="G86" s="56">
        <v>9786000</v>
      </c>
      <c r="H86" s="49">
        <v>0</v>
      </c>
      <c r="I86" s="49">
        <v>0</v>
      </c>
      <c r="J86" s="56">
        <v>489300</v>
      </c>
      <c r="K86" s="56">
        <v>0</v>
      </c>
      <c r="L86" s="56">
        <v>0</v>
      </c>
      <c r="M86" s="56">
        <v>0</v>
      </c>
      <c r="N86" s="56">
        <v>0</v>
      </c>
      <c r="O86" s="56">
        <v>10306128</v>
      </c>
      <c r="P86" s="56">
        <f t="shared" si="5"/>
        <v>10306128</v>
      </c>
      <c r="Q86" s="56">
        <f t="shared" si="6"/>
        <v>-30828</v>
      </c>
    </row>
    <row r="87" ht="12.9" customHeight="1" spans="1:17">
      <c r="A87" s="46">
        <v>82</v>
      </c>
      <c r="B87" s="45" t="s">
        <v>232</v>
      </c>
      <c r="C87" s="46">
        <v>1660</v>
      </c>
      <c r="D87" s="56">
        <f t="shared" si="7"/>
        <v>5307.8313253012</v>
      </c>
      <c r="E87" s="45" t="s">
        <v>233</v>
      </c>
      <c r="F87" s="57">
        <v>44621</v>
      </c>
      <c r="G87" s="56">
        <v>8811000</v>
      </c>
      <c r="H87" s="49">
        <v>0</v>
      </c>
      <c r="I87" s="49">
        <v>0</v>
      </c>
      <c r="J87" s="56">
        <v>445978</v>
      </c>
      <c r="K87" s="56">
        <v>0</v>
      </c>
      <c r="L87" s="56">
        <v>0</v>
      </c>
      <c r="M87" s="56">
        <v>525000</v>
      </c>
      <c r="N87" s="56">
        <v>6675000</v>
      </c>
      <c r="O87" s="56">
        <v>2032550</v>
      </c>
      <c r="P87" s="56">
        <f t="shared" si="5"/>
        <v>9232550</v>
      </c>
      <c r="Q87" s="56">
        <f t="shared" si="6"/>
        <v>24428</v>
      </c>
    </row>
    <row r="88" ht="12.9" customHeight="1" spans="1:17">
      <c r="A88" s="46">
        <v>83</v>
      </c>
      <c r="B88" s="45" t="s">
        <v>234</v>
      </c>
      <c r="C88" s="46">
        <v>1660</v>
      </c>
      <c r="D88" s="56">
        <f t="shared" si="7"/>
        <v>5000.60240963855</v>
      </c>
      <c r="E88" s="45" t="s">
        <v>235</v>
      </c>
      <c r="F88" s="57">
        <v>44779</v>
      </c>
      <c r="G88" s="56">
        <v>8301000</v>
      </c>
      <c r="H88" s="49">
        <v>0</v>
      </c>
      <c r="I88" s="49">
        <v>0</v>
      </c>
      <c r="J88" s="56">
        <v>420478</v>
      </c>
      <c r="K88" s="49">
        <v>0</v>
      </c>
      <c r="L88" s="56">
        <v>0</v>
      </c>
      <c r="M88" s="56">
        <v>0</v>
      </c>
      <c r="N88" s="56">
        <v>6410000</v>
      </c>
      <c r="O88" s="56">
        <v>2336878</v>
      </c>
      <c r="P88" s="56">
        <f t="shared" si="5"/>
        <v>8746878</v>
      </c>
      <c r="Q88" s="56">
        <f t="shared" si="6"/>
        <v>-25400</v>
      </c>
    </row>
    <row r="89" ht="12.9" customHeight="1" spans="1:17">
      <c r="A89" s="46">
        <v>84</v>
      </c>
      <c r="B89" s="45" t="s">
        <v>236</v>
      </c>
      <c r="C89" s="46">
        <v>1660</v>
      </c>
      <c r="D89" s="56">
        <f t="shared" si="7"/>
        <v>4666.26506024096</v>
      </c>
      <c r="E89" s="45" t="s">
        <v>237</v>
      </c>
      <c r="F89" s="57">
        <v>44243</v>
      </c>
      <c r="G89" s="56">
        <v>7746000</v>
      </c>
      <c r="H89" s="49">
        <v>0</v>
      </c>
      <c r="I89" s="49">
        <v>0</v>
      </c>
      <c r="J89" s="56">
        <v>429338</v>
      </c>
      <c r="K89" s="49">
        <v>0</v>
      </c>
      <c r="L89" s="56">
        <f>1437000-25000</f>
        <v>1412000</v>
      </c>
      <c r="M89" s="56">
        <v>4903000</v>
      </c>
      <c r="N89" s="56">
        <v>1231000</v>
      </c>
      <c r="O89" s="56">
        <v>629338</v>
      </c>
      <c r="P89" s="56">
        <f t="shared" si="5"/>
        <v>8175338</v>
      </c>
      <c r="Q89" s="56">
        <f t="shared" si="6"/>
        <v>0</v>
      </c>
    </row>
    <row r="90" ht="12.9" customHeight="1" spans="1:17">
      <c r="A90" s="46">
        <v>85</v>
      </c>
      <c r="B90" s="45" t="s">
        <v>238</v>
      </c>
      <c r="C90" s="46">
        <v>1660</v>
      </c>
      <c r="D90" s="56">
        <f t="shared" si="7"/>
        <v>4666.26506024096</v>
      </c>
      <c r="E90" s="45" t="s">
        <v>239</v>
      </c>
      <c r="F90" s="57">
        <v>44243</v>
      </c>
      <c r="G90" s="56">
        <v>7746000</v>
      </c>
      <c r="H90" s="49">
        <v>0</v>
      </c>
      <c r="I90" s="49">
        <v>0</v>
      </c>
      <c r="J90" s="56">
        <v>429338</v>
      </c>
      <c r="K90" s="49">
        <v>0</v>
      </c>
      <c r="L90" s="56">
        <v>1412000</v>
      </c>
      <c r="M90" s="56">
        <v>4903000</v>
      </c>
      <c r="N90" s="56">
        <v>1231000</v>
      </c>
      <c r="O90" s="56">
        <v>629338</v>
      </c>
      <c r="P90" s="56">
        <f t="shared" si="5"/>
        <v>8175338</v>
      </c>
      <c r="Q90" s="56">
        <f t="shared" si="6"/>
        <v>0</v>
      </c>
    </row>
    <row r="91" ht="12.9" customHeight="1" spans="1:17">
      <c r="A91" s="46">
        <v>86</v>
      </c>
      <c r="B91" s="45" t="s">
        <v>240</v>
      </c>
      <c r="C91" s="46">
        <v>1660</v>
      </c>
      <c r="D91" s="56">
        <f t="shared" si="7"/>
        <v>4877.10843373494</v>
      </c>
      <c r="E91" s="45" t="s">
        <v>241</v>
      </c>
      <c r="F91" s="57">
        <v>44312</v>
      </c>
      <c r="G91" s="56">
        <v>8096000</v>
      </c>
      <c r="H91" s="49">
        <v>0</v>
      </c>
      <c r="I91" s="49">
        <v>0</v>
      </c>
      <c r="J91" s="56">
        <v>598268</v>
      </c>
      <c r="K91" s="56">
        <v>0</v>
      </c>
      <c r="L91" s="56">
        <v>0</v>
      </c>
      <c r="M91" s="56">
        <v>4400000</v>
      </c>
      <c r="N91" s="56">
        <v>3841531</v>
      </c>
      <c r="O91" s="56">
        <v>452737</v>
      </c>
      <c r="P91" s="56">
        <f t="shared" si="5"/>
        <v>8694268</v>
      </c>
      <c r="Q91" s="56">
        <f t="shared" si="6"/>
        <v>0</v>
      </c>
    </row>
    <row r="92" ht="12.9" customHeight="1" spans="1:17">
      <c r="A92" s="46">
        <v>87</v>
      </c>
      <c r="B92" s="45" t="s">
        <v>242</v>
      </c>
      <c r="C92" s="46">
        <v>1660</v>
      </c>
      <c r="D92" s="56">
        <f t="shared" si="7"/>
        <v>4865.06024096385</v>
      </c>
      <c r="E92" s="45" t="s">
        <v>243</v>
      </c>
      <c r="F92" s="57">
        <v>44298</v>
      </c>
      <c r="G92" s="56">
        <v>8076000</v>
      </c>
      <c r="H92" s="49">
        <v>0</v>
      </c>
      <c r="I92" s="49">
        <v>0</v>
      </c>
      <c r="J92" s="56">
        <v>401274</v>
      </c>
      <c r="K92" s="56">
        <v>0</v>
      </c>
      <c r="L92" s="56">
        <v>0</v>
      </c>
      <c r="M92" s="56">
        <v>4640000</v>
      </c>
      <c r="N92" s="56">
        <v>3236000</v>
      </c>
      <c r="O92" s="56">
        <v>601092</v>
      </c>
      <c r="P92" s="56">
        <f t="shared" si="5"/>
        <v>8477092</v>
      </c>
      <c r="Q92" s="56">
        <f t="shared" si="6"/>
        <v>182</v>
      </c>
    </row>
    <row r="93" ht="12.9" customHeight="1" spans="1:17">
      <c r="A93" s="46">
        <v>88</v>
      </c>
      <c r="B93" s="45" t="s">
        <v>244</v>
      </c>
      <c r="C93" s="46">
        <v>1660</v>
      </c>
      <c r="D93" s="56">
        <f t="shared" si="7"/>
        <v>5356.6265060241</v>
      </c>
      <c r="E93" s="45" t="s">
        <v>245</v>
      </c>
      <c r="F93" s="57">
        <v>44587</v>
      </c>
      <c r="G93" s="56">
        <v>8892000</v>
      </c>
      <c r="H93" s="49">
        <v>0</v>
      </c>
      <c r="I93" s="49">
        <v>0</v>
      </c>
      <c r="J93" s="56">
        <v>435428</v>
      </c>
      <c r="K93" s="56">
        <v>0</v>
      </c>
      <c r="L93" s="56">
        <v>0</v>
      </c>
      <c r="M93" s="56">
        <v>5125000</v>
      </c>
      <c r="N93" s="56">
        <v>3567000</v>
      </c>
      <c r="O93" s="56">
        <v>635428</v>
      </c>
      <c r="P93" s="56">
        <f t="shared" si="5"/>
        <v>9327428</v>
      </c>
      <c r="Q93" s="56">
        <f t="shared" si="6"/>
        <v>0</v>
      </c>
    </row>
    <row r="94" ht="12.9" customHeight="1" spans="1:17">
      <c r="A94" s="46">
        <v>89</v>
      </c>
      <c r="B94" s="45" t="s">
        <v>246</v>
      </c>
      <c r="C94" s="46">
        <v>1660</v>
      </c>
      <c r="D94" s="56">
        <f t="shared" si="7"/>
        <v>3862.65060240964</v>
      </c>
      <c r="E94" s="45" t="s">
        <v>247</v>
      </c>
      <c r="F94" s="57">
        <v>44251</v>
      </c>
      <c r="G94" s="56">
        <v>6412000</v>
      </c>
      <c r="H94" s="49">
        <v>0</v>
      </c>
      <c r="I94" s="49">
        <v>0</v>
      </c>
      <c r="J94" s="56">
        <v>351428</v>
      </c>
      <c r="K94" s="49">
        <v>0</v>
      </c>
      <c r="L94" s="56">
        <v>25000</v>
      </c>
      <c r="M94" s="56">
        <v>4927000</v>
      </c>
      <c r="N94" s="56">
        <v>0</v>
      </c>
      <c r="O94" s="56">
        <v>1811428</v>
      </c>
      <c r="P94" s="56">
        <f t="shared" si="5"/>
        <v>6763428</v>
      </c>
      <c r="Q94" s="56">
        <f t="shared" si="6"/>
        <v>0</v>
      </c>
    </row>
    <row r="95" ht="12.9" customHeight="1" spans="1:17">
      <c r="A95" s="46">
        <v>90</v>
      </c>
      <c r="B95" s="45" t="s">
        <v>248</v>
      </c>
      <c r="C95" s="46">
        <v>1660</v>
      </c>
      <c r="D95" s="56">
        <f t="shared" si="7"/>
        <v>4876.50602409639</v>
      </c>
      <c r="E95" s="45" t="s">
        <v>249</v>
      </c>
      <c r="F95" s="57">
        <v>44979</v>
      </c>
      <c r="G95" s="56">
        <v>8095000</v>
      </c>
      <c r="H95" s="49">
        <v>0</v>
      </c>
      <c r="I95" s="49">
        <v>0</v>
      </c>
      <c r="J95" s="56">
        <v>435578</v>
      </c>
      <c r="K95" s="49"/>
      <c r="L95" s="56"/>
      <c r="M95" s="56"/>
      <c r="N95" s="59">
        <v>0</v>
      </c>
      <c r="O95" s="56">
        <v>8530750</v>
      </c>
      <c r="P95" s="56">
        <f t="shared" si="5"/>
        <v>8530750</v>
      </c>
      <c r="Q95" s="56">
        <f t="shared" si="6"/>
        <v>-172</v>
      </c>
    </row>
    <row r="96" ht="12.9" customHeight="1" spans="1:17">
      <c r="A96" s="46">
        <v>91</v>
      </c>
      <c r="B96" s="45" t="s">
        <v>250</v>
      </c>
      <c r="C96" s="46">
        <v>1660</v>
      </c>
      <c r="D96" s="56">
        <f t="shared" si="7"/>
        <v>4915.06024096385</v>
      </c>
      <c r="E96" s="45" t="s">
        <v>251</v>
      </c>
      <c r="F96" s="57">
        <v>44439</v>
      </c>
      <c r="G96" s="56">
        <v>8159000</v>
      </c>
      <c r="H96" s="49">
        <v>0</v>
      </c>
      <c r="I96" s="49">
        <v>0</v>
      </c>
      <c r="J96" s="56">
        <v>394268</v>
      </c>
      <c r="K96" s="49">
        <v>0</v>
      </c>
      <c r="L96" s="56">
        <v>0</v>
      </c>
      <c r="M96" s="56">
        <v>4700000</v>
      </c>
      <c r="N96" s="56">
        <v>3259000</v>
      </c>
      <c r="O96" s="56">
        <v>593268</v>
      </c>
      <c r="P96" s="56">
        <f t="shared" si="5"/>
        <v>8552268</v>
      </c>
      <c r="Q96" s="56">
        <f t="shared" si="6"/>
        <v>1000</v>
      </c>
    </row>
    <row r="97" ht="12.9" customHeight="1" spans="1:17">
      <c r="A97" s="46">
        <v>92</v>
      </c>
      <c r="B97" s="45" t="s">
        <v>252</v>
      </c>
      <c r="C97" s="46">
        <v>1660</v>
      </c>
      <c r="D97" s="56">
        <f t="shared" si="7"/>
        <v>4765.06024096385</v>
      </c>
      <c r="E97" s="45" t="s">
        <v>253</v>
      </c>
      <c r="F97" s="57">
        <v>44231</v>
      </c>
      <c r="G97" s="56">
        <v>7910000</v>
      </c>
      <c r="H97" s="49">
        <v>0</v>
      </c>
      <c r="I97" s="49">
        <v>0</v>
      </c>
      <c r="J97" s="56">
        <v>426328</v>
      </c>
      <c r="K97" s="49">
        <v>0</v>
      </c>
      <c r="L97" s="56">
        <v>1480500</v>
      </c>
      <c r="M97" s="56">
        <v>3150000</v>
      </c>
      <c r="N97" s="56">
        <v>2624794</v>
      </c>
      <c r="O97" s="56">
        <v>1081034</v>
      </c>
      <c r="P97" s="56">
        <f t="shared" si="5"/>
        <v>8336328</v>
      </c>
      <c r="Q97" s="56">
        <f t="shared" si="6"/>
        <v>0</v>
      </c>
    </row>
    <row r="98" ht="12.9" customHeight="1" spans="1:17">
      <c r="A98" s="46">
        <v>93</v>
      </c>
      <c r="B98" s="45" t="s">
        <v>254</v>
      </c>
      <c r="C98" s="46">
        <v>1660</v>
      </c>
      <c r="D98" s="56">
        <f t="shared" si="7"/>
        <v>5237.95180722892</v>
      </c>
      <c r="E98" s="45" t="s">
        <v>255</v>
      </c>
      <c r="F98" s="57">
        <v>44545</v>
      </c>
      <c r="G98" s="56">
        <v>8695000</v>
      </c>
      <c r="H98" s="49">
        <v>0</v>
      </c>
      <c r="I98" s="49">
        <v>0</v>
      </c>
      <c r="J98" s="56">
        <v>760578</v>
      </c>
      <c r="K98" s="49">
        <v>0</v>
      </c>
      <c r="L98" s="56">
        <v>0</v>
      </c>
      <c r="M98" s="56">
        <v>5652000</v>
      </c>
      <c r="N98" s="56">
        <v>2214000</v>
      </c>
      <c r="O98" s="56">
        <v>1589578</v>
      </c>
      <c r="P98" s="56">
        <f t="shared" si="5"/>
        <v>9455578</v>
      </c>
      <c r="Q98" s="56">
        <f t="shared" si="6"/>
        <v>0</v>
      </c>
    </row>
    <row r="99" ht="12.9" customHeight="1" spans="1:17">
      <c r="A99" s="46">
        <v>94</v>
      </c>
      <c r="B99" s="45" t="s">
        <v>256</v>
      </c>
      <c r="C99" s="46">
        <v>1660</v>
      </c>
      <c r="D99" s="56">
        <f t="shared" si="7"/>
        <v>5665.06024096385</v>
      </c>
      <c r="E99" s="45" t="s">
        <v>257</v>
      </c>
      <c r="F99" s="57">
        <v>44709</v>
      </c>
      <c r="G99" s="56">
        <v>9404000</v>
      </c>
      <c r="H99" s="49">
        <v>0</v>
      </c>
      <c r="I99" s="49">
        <v>0</v>
      </c>
      <c r="J99" s="56">
        <v>606432</v>
      </c>
      <c r="K99" s="49">
        <v>0</v>
      </c>
      <c r="L99" s="56">
        <v>0</v>
      </c>
      <c r="M99" s="56">
        <v>0</v>
      </c>
      <c r="N99" s="56">
        <v>9992200</v>
      </c>
      <c r="O99" s="56">
        <v>18232</v>
      </c>
      <c r="P99" s="56">
        <f t="shared" si="5"/>
        <v>10010432</v>
      </c>
      <c r="Q99" s="56">
        <f t="shared" si="6"/>
        <v>0</v>
      </c>
    </row>
    <row r="100" ht="12.9" customHeight="1" spans="1:17">
      <c r="A100" s="46">
        <v>95</v>
      </c>
      <c r="B100" s="45" t="s">
        <v>258</v>
      </c>
      <c r="C100" s="46">
        <v>1660</v>
      </c>
      <c r="D100" s="56">
        <f t="shared" si="7"/>
        <v>4766.26506024096</v>
      </c>
      <c r="E100" s="45" t="s">
        <v>259</v>
      </c>
      <c r="F100" s="57">
        <v>44231</v>
      </c>
      <c r="G100" s="56">
        <v>7912000</v>
      </c>
      <c r="H100" s="49">
        <v>0</v>
      </c>
      <c r="I100" s="49">
        <v>0</v>
      </c>
      <c r="J100" s="56">
        <v>385600</v>
      </c>
      <c r="K100" s="49">
        <v>0</v>
      </c>
      <c r="L100" s="56">
        <v>825000</v>
      </c>
      <c r="M100" s="56">
        <v>3737000</v>
      </c>
      <c r="N100" s="56">
        <v>2850000</v>
      </c>
      <c r="O100" s="56">
        <v>695000</v>
      </c>
      <c r="P100" s="56">
        <f t="shared" si="5"/>
        <v>8107000</v>
      </c>
      <c r="Q100" s="56">
        <f t="shared" si="6"/>
        <v>190600</v>
      </c>
    </row>
    <row r="101" ht="12.9" customHeight="1" spans="1:17">
      <c r="A101" s="46">
        <v>96</v>
      </c>
      <c r="B101" s="45" t="s">
        <v>260</v>
      </c>
      <c r="C101" s="46">
        <v>1660</v>
      </c>
      <c r="D101" s="56">
        <f t="shared" si="7"/>
        <v>4190.96385542169</v>
      </c>
      <c r="E101" s="45" t="s">
        <v>261</v>
      </c>
      <c r="F101" s="57">
        <v>43845</v>
      </c>
      <c r="G101" s="56">
        <v>6957000</v>
      </c>
      <c r="H101" s="49">
        <v>0</v>
      </c>
      <c r="I101" s="49">
        <v>0</v>
      </c>
      <c r="J101" s="56">
        <v>518850</v>
      </c>
      <c r="K101" s="56">
        <v>1293000</v>
      </c>
      <c r="L101" s="56">
        <v>0</v>
      </c>
      <c r="M101" s="56">
        <v>2744000</v>
      </c>
      <c r="N101" s="56">
        <v>2446000</v>
      </c>
      <c r="O101" s="56">
        <v>992850</v>
      </c>
      <c r="P101" s="56">
        <f t="shared" si="5"/>
        <v>7475850</v>
      </c>
      <c r="Q101" s="56">
        <f t="shared" si="6"/>
        <v>0</v>
      </c>
    </row>
    <row r="102" ht="12.9" customHeight="1" spans="1:17">
      <c r="A102" s="46">
        <v>97</v>
      </c>
      <c r="B102" s="45" t="s">
        <v>262</v>
      </c>
      <c r="C102" s="46">
        <v>1660</v>
      </c>
      <c r="D102" s="56">
        <f t="shared" si="7"/>
        <v>4666.26506024096</v>
      </c>
      <c r="E102" s="45" t="s">
        <v>263</v>
      </c>
      <c r="F102" s="57">
        <v>44235</v>
      </c>
      <c r="G102" s="56">
        <v>7746000</v>
      </c>
      <c r="H102" s="49">
        <v>0</v>
      </c>
      <c r="I102" s="49">
        <v>0</v>
      </c>
      <c r="J102" s="56">
        <v>418128</v>
      </c>
      <c r="K102" s="49">
        <v>0</v>
      </c>
      <c r="L102" s="56">
        <v>1225000</v>
      </c>
      <c r="M102" s="56">
        <v>3242000</v>
      </c>
      <c r="N102" s="56">
        <v>1848000</v>
      </c>
      <c r="O102" s="56">
        <v>1849128</v>
      </c>
      <c r="P102" s="56">
        <f t="shared" si="5"/>
        <v>8164128</v>
      </c>
      <c r="Q102" s="56">
        <f t="shared" si="6"/>
        <v>0</v>
      </c>
    </row>
    <row r="103" ht="12.9" customHeight="1" spans="1:17">
      <c r="A103" s="46">
        <v>98</v>
      </c>
      <c r="B103" s="45" t="s">
        <v>264</v>
      </c>
      <c r="C103" s="46">
        <v>1660</v>
      </c>
      <c r="D103" s="56">
        <f t="shared" si="7"/>
        <v>3943.3734939759</v>
      </c>
      <c r="E103" s="45" t="s">
        <v>265</v>
      </c>
      <c r="F103" s="57">
        <v>44240</v>
      </c>
      <c r="G103" s="56">
        <v>6546000</v>
      </c>
      <c r="H103" s="49">
        <v>0</v>
      </c>
      <c r="I103" s="49">
        <v>0</v>
      </c>
      <c r="J103" s="56">
        <v>414833</v>
      </c>
      <c r="K103" s="49">
        <v>0</v>
      </c>
      <c r="L103" s="56">
        <v>312000</v>
      </c>
      <c r="M103" s="56">
        <v>2967000</v>
      </c>
      <c r="N103" s="56">
        <v>3067000</v>
      </c>
      <c r="O103" s="56">
        <v>614833</v>
      </c>
      <c r="P103" s="56">
        <f>SUM(K103:O103)</f>
        <v>6960833</v>
      </c>
      <c r="Q103" s="56">
        <f t="shared" si="6"/>
        <v>0</v>
      </c>
    </row>
    <row r="104" ht="12.9" customHeight="1" spans="1:17">
      <c r="A104" s="46">
        <v>99</v>
      </c>
      <c r="B104" s="45" t="s">
        <v>266</v>
      </c>
      <c r="C104" s="46">
        <v>1660</v>
      </c>
      <c r="D104" s="56">
        <f t="shared" si="7"/>
        <v>5527.10843373494</v>
      </c>
      <c r="E104" s="45" t="s">
        <v>267</v>
      </c>
      <c r="F104" s="57">
        <v>44708</v>
      </c>
      <c r="G104" s="56">
        <v>9175000</v>
      </c>
      <c r="H104" s="49">
        <v>0</v>
      </c>
      <c r="I104" s="49">
        <v>0</v>
      </c>
      <c r="J104" s="56">
        <v>555297</v>
      </c>
      <c r="K104" s="49">
        <v>0</v>
      </c>
      <c r="L104" s="56">
        <v>0</v>
      </c>
      <c r="M104" s="56">
        <v>0</v>
      </c>
      <c r="N104" s="56">
        <v>9633750</v>
      </c>
      <c r="O104" s="56">
        <v>91615</v>
      </c>
      <c r="P104" s="56">
        <f>SUM(K104:O104)</f>
        <v>9725365</v>
      </c>
      <c r="Q104" s="56">
        <f t="shared" si="6"/>
        <v>4932</v>
      </c>
    </row>
    <row r="105" ht="12.9" customHeight="1" spans="1:17">
      <c r="A105" s="46">
        <v>100</v>
      </c>
      <c r="B105" s="45" t="s">
        <v>268</v>
      </c>
      <c r="C105" s="46">
        <v>1660</v>
      </c>
      <c r="D105" s="56">
        <f t="shared" si="7"/>
        <v>4473.49397590361</v>
      </c>
      <c r="E105" s="45" t="s">
        <v>269</v>
      </c>
      <c r="F105" s="57">
        <v>44297</v>
      </c>
      <c r="G105" s="56">
        <v>7426000</v>
      </c>
      <c r="H105" s="49">
        <v>0</v>
      </c>
      <c r="I105" s="49">
        <v>0</v>
      </c>
      <c r="J105" s="56">
        <v>949968</v>
      </c>
      <c r="K105" s="49">
        <v>0</v>
      </c>
      <c r="L105" s="56">
        <v>0</v>
      </c>
      <c r="M105" s="56">
        <v>2962250</v>
      </c>
      <c r="N105" s="56">
        <v>2975750</v>
      </c>
      <c r="O105" s="56">
        <v>2485000</v>
      </c>
      <c r="P105" s="56">
        <f>SUM(K105:O105)</f>
        <v>8423000</v>
      </c>
      <c r="Q105" s="56">
        <f t="shared" si="6"/>
        <v>-47032</v>
      </c>
    </row>
    <row r="106" ht="12.9" customHeight="1" spans="1:17">
      <c r="A106" s="46">
        <v>101</v>
      </c>
      <c r="B106" s="45" t="s">
        <v>270</v>
      </c>
      <c r="C106" s="46">
        <v>1660</v>
      </c>
      <c r="D106" s="56">
        <f t="shared" si="7"/>
        <v>4915.66265060241</v>
      </c>
      <c r="E106" s="45" t="s">
        <v>271</v>
      </c>
      <c r="F106" s="57">
        <v>44424</v>
      </c>
      <c r="G106" s="56">
        <v>8160000</v>
      </c>
      <c r="H106" s="49">
        <v>0</v>
      </c>
      <c r="I106" s="49">
        <v>0</v>
      </c>
      <c r="J106" s="56">
        <v>387616</v>
      </c>
      <c r="K106" s="49">
        <v>0</v>
      </c>
      <c r="L106" s="56">
        <v>0</v>
      </c>
      <c r="M106" s="56">
        <v>4700000</v>
      </c>
      <c r="N106" s="56">
        <v>2953000</v>
      </c>
      <c r="O106" s="56">
        <v>946000</v>
      </c>
      <c r="P106" s="56">
        <f>SUM(K106:O106)</f>
        <v>8599000</v>
      </c>
      <c r="Q106" s="56">
        <f t="shared" si="6"/>
        <v>-51384</v>
      </c>
    </row>
    <row r="107" ht="12.9" customHeight="1" spans="1:17">
      <c r="A107" s="46">
        <v>102</v>
      </c>
      <c r="B107" s="45" t="s">
        <v>272</v>
      </c>
      <c r="C107" s="46">
        <v>1660</v>
      </c>
      <c r="D107" s="56">
        <f t="shared" si="7"/>
        <v>4766.26506024096</v>
      </c>
      <c r="E107" s="45" t="s">
        <v>273</v>
      </c>
      <c r="F107" s="57">
        <v>44279</v>
      </c>
      <c r="G107" s="56">
        <v>7912000</v>
      </c>
      <c r="H107" s="49">
        <v>0</v>
      </c>
      <c r="I107" s="49">
        <v>0</v>
      </c>
      <c r="J107" s="56">
        <v>394062</v>
      </c>
      <c r="K107" s="49">
        <v>0</v>
      </c>
      <c r="L107" s="56">
        <v>25000</v>
      </c>
      <c r="M107" s="56">
        <v>4540000</v>
      </c>
      <c r="N107" s="56">
        <v>3150000</v>
      </c>
      <c r="O107" s="56">
        <v>591062</v>
      </c>
      <c r="P107" s="56">
        <f>SUM(K107:O107)</f>
        <v>8306062</v>
      </c>
      <c r="Q107" s="56">
        <f t="shared" si="6"/>
        <v>0</v>
      </c>
    </row>
    <row r="108" ht="12.9" customHeight="1" spans="1:17">
      <c r="A108" s="46">
        <v>103</v>
      </c>
      <c r="B108" s="45" t="s">
        <v>274</v>
      </c>
      <c r="C108" s="46">
        <v>1660</v>
      </c>
      <c r="D108" s="56">
        <f t="shared" si="7"/>
        <v>5115.06024096385</v>
      </c>
      <c r="E108" s="45" t="s">
        <v>275</v>
      </c>
      <c r="F108" s="57">
        <v>44483</v>
      </c>
      <c r="G108" s="56">
        <v>8491000</v>
      </c>
      <c r="H108" s="49">
        <v>0</v>
      </c>
      <c r="I108" s="49">
        <v>0</v>
      </c>
      <c r="J108" s="56">
        <v>346650</v>
      </c>
      <c r="K108" s="49">
        <v>0</v>
      </c>
      <c r="L108" s="49">
        <v>0</v>
      </c>
      <c r="M108" s="56">
        <v>1575000</v>
      </c>
      <c r="N108" s="56">
        <v>4500000</v>
      </c>
      <c r="O108" s="56">
        <v>0</v>
      </c>
      <c r="P108" s="56">
        <f>SUM(K108:O108)</f>
        <v>6075000</v>
      </c>
      <c r="Q108" s="56">
        <f t="shared" si="6"/>
        <v>2762650</v>
      </c>
    </row>
    <row r="109" ht="12.9" customHeight="1" spans="1:17">
      <c r="A109" s="46">
        <v>104</v>
      </c>
      <c r="B109" s="45" t="s">
        <v>276</v>
      </c>
      <c r="C109" s="46">
        <v>1660</v>
      </c>
      <c r="D109" s="56">
        <f t="shared" si="7"/>
        <v>5616.26506024096</v>
      </c>
      <c r="E109" s="45" t="s">
        <v>277</v>
      </c>
      <c r="F109" s="57">
        <v>44707</v>
      </c>
      <c r="G109" s="56">
        <v>9323000</v>
      </c>
      <c r="H109" s="49">
        <v>0</v>
      </c>
      <c r="I109" s="49">
        <v>0</v>
      </c>
      <c r="J109" s="56">
        <v>496978</v>
      </c>
      <c r="K109" s="49">
        <v>0</v>
      </c>
      <c r="L109" s="56">
        <v>0</v>
      </c>
      <c r="M109" s="56">
        <v>0</v>
      </c>
      <c r="N109" s="56">
        <v>7623000</v>
      </c>
      <c r="O109" s="56">
        <v>2196978</v>
      </c>
      <c r="P109" s="56">
        <f>SUM(K109:O109)</f>
        <v>9819978</v>
      </c>
      <c r="Q109" s="56">
        <f t="shared" si="6"/>
        <v>0</v>
      </c>
    </row>
    <row r="110" ht="12.9" customHeight="1" spans="1:17">
      <c r="A110" s="46">
        <v>105</v>
      </c>
      <c r="B110" s="45" t="s">
        <v>278</v>
      </c>
      <c r="C110" s="46">
        <v>1660</v>
      </c>
      <c r="D110" s="56">
        <f t="shared" si="7"/>
        <v>5115.06024096385</v>
      </c>
      <c r="E110" s="45" t="s">
        <v>279</v>
      </c>
      <c r="F110" s="57">
        <v>44500</v>
      </c>
      <c r="G110" s="56">
        <v>8491000</v>
      </c>
      <c r="H110" s="49">
        <v>0</v>
      </c>
      <c r="I110" s="49">
        <v>0</v>
      </c>
      <c r="J110" s="56">
        <v>444782</v>
      </c>
      <c r="K110" s="56">
        <v>0</v>
      </c>
      <c r="L110" s="56">
        <v>0</v>
      </c>
      <c r="M110" s="56">
        <v>4880005</v>
      </c>
      <c r="N110" s="56">
        <v>2038000</v>
      </c>
      <c r="O110" s="56">
        <v>1969373</v>
      </c>
      <c r="P110" s="56">
        <f>SUM(K110:O110)</f>
        <v>8887378</v>
      </c>
      <c r="Q110" s="56">
        <f t="shared" si="6"/>
        <v>48404</v>
      </c>
    </row>
    <row r="111" ht="12.9" customHeight="1" spans="1:17">
      <c r="A111" s="46">
        <v>106</v>
      </c>
      <c r="B111" s="45" t="s">
        <v>280</v>
      </c>
      <c r="C111" s="46">
        <v>1660</v>
      </c>
      <c r="D111" s="56">
        <f t="shared" si="7"/>
        <v>4162.65060240964</v>
      </c>
      <c r="E111" s="45" t="s">
        <v>281</v>
      </c>
      <c r="F111" s="58">
        <v>44342</v>
      </c>
      <c r="G111" s="56">
        <v>6910000</v>
      </c>
      <c r="H111" s="49">
        <v>0</v>
      </c>
      <c r="I111" s="49">
        <v>0</v>
      </c>
      <c r="J111" s="56">
        <v>376328</v>
      </c>
      <c r="K111" s="49">
        <v>0</v>
      </c>
      <c r="L111" s="56">
        <v>0</v>
      </c>
      <c r="M111" s="56">
        <v>3574000</v>
      </c>
      <c r="N111" s="56">
        <v>1882000</v>
      </c>
      <c r="O111" s="56">
        <v>1830328</v>
      </c>
      <c r="P111" s="56">
        <f>SUM(K111:O111)</f>
        <v>7286328</v>
      </c>
      <c r="Q111" s="56">
        <f t="shared" si="6"/>
        <v>0</v>
      </c>
    </row>
    <row r="112" ht="12.9" customHeight="1" spans="1:17">
      <c r="A112" s="46">
        <v>107</v>
      </c>
      <c r="B112" s="45" t="s">
        <v>282</v>
      </c>
      <c r="C112" s="46">
        <v>1660</v>
      </c>
      <c r="D112" s="56">
        <f t="shared" si="7"/>
        <v>3811.44578313253</v>
      </c>
      <c r="E112" s="45" t="s">
        <v>283</v>
      </c>
      <c r="F112" s="57">
        <v>44204</v>
      </c>
      <c r="G112" s="56">
        <v>6327000</v>
      </c>
      <c r="H112" s="49">
        <v>0</v>
      </c>
      <c r="I112" s="49">
        <v>0</v>
      </c>
      <c r="J112" s="56">
        <v>300658</v>
      </c>
      <c r="K112" s="56">
        <v>0</v>
      </c>
      <c r="L112" s="56">
        <v>225000</v>
      </c>
      <c r="M112" s="56">
        <v>2797000</v>
      </c>
      <c r="N112" s="56">
        <v>3500000</v>
      </c>
      <c r="O112" s="56">
        <v>500000</v>
      </c>
      <c r="P112" s="56">
        <f>SUM(K112:O112)</f>
        <v>7022000</v>
      </c>
      <c r="Q112" s="56">
        <f t="shared" si="6"/>
        <v>-394342</v>
      </c>
    </row>
    <row r="113" ht="12.9" customHeight="1" spans="1:17">
      <c r="A113" s="46">
        <v>108</v>
      </c>
      <c r="B113" s="45" t="s">
        <v>284</v>
      </c>
      <c r="C113" s="46">
        <v>1660</v>
      </c>
      <c r="D113" s="56">
        <f t="shared" si="7"/>
        <v>5945.78313253012</v>
      </c>
      <c r="E113" s="45" t="s">
        <v>285</v>
      </c>
      <c r="F113" s="57">
        <v>45262</v>
      </c>
      <c r="G113" s="56">
        <v>9870000</v>
      </c>
      <c r="H113" s="49">
        <v>0</v>
      </c>
      <c r="I113" s="49">
        <v>0</v>
      </c>
      <c r="J113" s="56">
        <v>0</v>
      </c>
      <c r="K113" s="56"/>
      <c r="L113" s="56"/>
      <c r="M113" s="56"/>
      <c r="N113" s="56"/>
      <c r="O113" s="56">
        <v>4162000</v>
      </c>
      <c r="P113" s="56">
        <f>SUM(K113:O113)</f>
        <v>4162000</v>
      </c>
      <c r="Q113" s="56">
        <f t="shared" si="6"/>
        <v>5708000</v>
      </c>
    </row>
    <row r="114" ht="12.9" customHeight="1" spans="1:17">
      <c r="A114" s="46">
        <v>109</v>
      </c>
      <c r="B114" s="45" t="s">
        <v>286</v>
      </c>
      <c r="C114" s="46">
        <v>1660</v>
      </c>
      <c r="D114" s="56">
        <f t="shared" si="7"/>
        <v>4728.9156626506</v>
      </c>
      <c r="E114" s="45" t="s">
        <v>287</v>
      </c>
      <c r="F114" s="57">
        <v>45171</v>
      </c>
      <c r="G114" s="56">
        <v>7850000</v>
      </c>
      <c r="H114" s="49">
        <v>0</v>
      </c>
      <c r="I114" s="49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56">
        <v>1912000</v>
      </c>
      <c r="P114" s="56">
        <f>SUM(K114:O114)</f>
        <v>1912000</v>
      </c>
      <c r="Q114" s="56">
        <f t="shared" si="6"/>
        <v>5938000</v>
      </c>
    </row>
    <row r="115" ht="12.9" customHeight="1" spans="1:17">
      <c r="A115" s="46">
        <v>110</v>
      </c>
      <c r="B115" s="45" t="s">
        <v>288</v>
      </c>
      <c r="C115" s="46">
        <v>1660</v>
      </c>
      <c r="D115" s="56">
        <f t="shared" si="7"/>
        <v>4770.48192771084</v>
      </c>
      <c r="E115" s="45" t="s">
        <v>289</v>
      </c>
      <c r="F115" s="57">
        <v>45176</v>
      </c>
      <c r="G115" s="56">
        <v>7919000</v>
      </c>
      <c r="H115" s="49">
        <v>0</v>
      </c>
      <c r="I115" s="49">
        <v>0</v>
      </c>
      <c r="J115" s="56">
        <v>0</v>
      </c>
      <c r="K115" s="56">
        <v>0</v>
      </c>
      <c r="L115" s="56">
        <v>0</v>
      </c>
      <c r="M115" s="56">
        <v>0</v>
      </c>
      <c r="N115" s="56">
        <v>0</v>
      </c>
      <c r="O115" s="56">
        <v>2155000</v>
      </c>
      <c r="P115" s="56">
        <f>SUM(K115:O115)</f>
        <v>2155000</v>
      </c>
      <c r="Q115" s="56">
        <f t="shared" si="6"/>
        <v>5764000</v>
      </c>
    </row>
    <row r="116" ht="12.9" customHeight="1" spans="1:17">
      <c r="A116" s="46">
        <v>111</v>
      </c>
      <c r="B116" s="45" t="s">
        <v>290</v>
      </c>
      <c r="C116" s="46">
        <v>1660</v>
      </c>
      <c r="D116" s="56">
        <v>4825.30120481928</v>
      </c>
      <c r="E116" s="45" t="s">
        <v>291</v>
      </c>
      <c r="F116" s="57">
        <v>45361</v>
      </c>
      <c r="G116" s="56">
        <v>8010000</v>
      </c>
      <c r="H116" s="49"/>
      <c r="I116" s="49"/>
      <c r="J116" s="56">
        <v>0</v>
      </c>
      <c r="K116" s="56">
        <v>0</v>
      </c>
      <c r="L116" s="56">
        <v>0</v>
      </c>
      <c r="M116" s="56">
        <v>0</v>
      </c>
      <c r="N116" s="56">
        <v>0</v>
      </c>
      <c r="O116" s="56">
        <v>251000</v>
      </c>
      <c r="P116" s="56">
        <f>SUM(K116:O116)</f>
        <v>251000</v>
      </c>
      <c r="Q116" s="56"/>
    </row>
    <row r="117" ht="12.9" customHeight="1" spans="1:17">
      <c r="A117" s="46">
        <v>112</v>
      </c>
      <c r="B117" s="45" t="s">
        <v>292</v>
      </c>
      <c r="C117" s="46">
        <v>1660</v>
      </c>
      <c r="D117" s="56">
        <f>G117/C117</f>
        <v>6024.09638554217</v>
      </c>
      <c r="E117" s="45" t="s">
        <v>293</v>
      </c>
      <c r="F117" s="57">
        <v>45190</v>
      </c>
      <c r="G117" s="56">
        <v>10000000</v>
      </c>
      <c r="H117" s="49">
        <v>0</v>
      </c>
      <c r="I117" s="49">
        <v>0</v>
      </c>
      <c r="J117" s="56">
        <v>0</v>
      </c>
      <c r="K117" s="56">
        <v>0</v>
      </c>
      <c r="L117" s="56">
        <v>0</v>
      </c>
      <c r="M117" s="56">
        <v>0</v>
      </c>
      <c r="N117" s="56">
        <v>0</v>
      </c>
      <c r="O117" s="56">
        <v>5200000</v>
      </c>
      <c r="P117" s="56">
        <f t="shared" ref="P117:P148" si="8">SUM(K117:O117)</f>
        <v>5200000</v>
      </c>
      <c r="Q117" s="56">
        <f>G117+J117-P117</f>
        <v>4800000</v>
      </c>
    </row>
    <row r="118" ht="12.9" customHeight="1" spans="1:17">
      <c r="A118" s="46">
        <v>113</v>
      </c>
      <c r="B118" s="45" t="s">
        <v>294</v>
      </c>
      <c r="C118" s="46">
        <v>1660</v>
      </c>
      <c r="D118" s="56">
        <v>6054.21686746988</v>
      </c>
      <c r="E118" s="45" t="s">
        <v>295</v>
      </c>
      <c r="F118" s="57">
        <v>45336</v>
      </c>
      <c r="G118" s="56">
        <v>10050000</v>
      </c>
      <c r="H118" s="49"/>
      <c r="I118" s="49"/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1760000</v>
      </c>
      <c r="P118" s="56">
        <f t="shared" si="8"/>
        <v>1760000</v>
      </c>
      <c r="Q118" s="56"/>
    </row>
    <row r="119" ht="12.9" customHeight="1" spans="1:17">
      <c r="A119" s="46">
        <v>114</v>
      </c>
      <c r="B119" s="45" t="s">
        <v>296</v>
      </c>
      <c r="C119" s="46">
        <v>1660</v>
      </c>
      <c r="D119" s="56">
        <v>4759.03614457831</v>
      </c>
      <c r="E119" s="45" t="s">
        <v>297</v>
      </c>
      <c r="F119" s="57">
        <v>45334</v>
      </c>
      <c r="G119" s="56">
        <v>7900000</v>
      </c>
      <c r="H119" s="49"/>
      <c r="I119" s="49"/>
      <c r="J119" s="56">
        <v>0</v>
      </c>
      <c r="K119" s="56">
        <v>0</v>
      </c>
      <c r="L119" s="56">
        <v>0</v>
      </c>
      <c r="M119" s="56">
        <v>0</v>
      </c>
      <c r="N119" s="56">
        <v>0</v>
      </c>
      <c r="O119" s="56">
        <v>740000</v>
      </c>
      <c r="P119" s="56">
        <f t="shared" si="8"/>
        <v>740000</v>
      </c>
      <c r="Q119" s="56"/>
    </row>
    <row r="120" ht="12.9" customHeight="1" spans="1:17">
      <c r="A120" s="46">
        <v>115</v>
      </c>
      <c r="B120" s="45" t="s">
        <v>298</v>
      </c>
      <c r="C120" s="46">
        <v>1660</v>
      </c>
      <c r="D120" s="56">
        <f>G120/C120</f>
        <v>4698.79518072289</v>
      </c>
      <c r="E120" s="45" t="s">
        <v>299</v>
      </c>
      <c r="F120" s="57">
        <v>45234</v>
      </c>
      <c r="G120" s="56">
        <v>7800000</v>
      </c>
      <c r="H120" s="49">
        <v>0</v>
      </c>
      <c r="I120" s="49">
        <v>0</v>
      </c>
      <c r="J120" s="56">
        <v>0</v>
      </c>
      <c r="K120" s="56">
        <v>0</v>
      </c>
      <c r="L120" s="56">
        <v>0</v>
      </c>
      <c r="M120" s="56">
        <v>0</v>
      </c>
      <c r="N120" s="56">
        <v>0</v>
      </c>
      <c r="O120" s="56">
        <v>2187323.56</v>
      </c>
      <c r="P120" s="56">
        <f t="shared" si="8"/>
        <v>2187323.56</v>
      </c>
      <c r="Q120" s="56">
        <f>G120+J120-P120</f>
        <v>5612676.44</v>
      </c>
    </row>
    <row r="121" ht="12.9" customHeight="1" spans="1:17">
      <c r="A121" s="46">
        <v>116</v>
      </c>
      <c r="B121" s="45" t="s">
        <v>300</v>
      </c>
      <c r="C121" s="46">
        <v>1660</v>
      </c>
      <c r="D121" s="56">
        <f>G121/C121</f>
        <v>5453.61445783133</v>
      </c>
      <c r="E121" s="45" t="s">
        <v>301</v>
      </c>
      <c r="F121" s="57">
        <v>45210</v>
      </c>
      <c r="G121" s="56">
        <v>9053000</v>
      </c>
      <c r="H121" s="49">
        <v>0</v>
      </c>
      <c r="I121" s="49">
        <v>0</v>
      </c>
      <c r="J121" s="56">
        <v>0</v>
      </c>
      <c r="K121" s="56">
        <v>0</v>
      </c>
      <c r="L121" s="56">
        <v>0</v>
      </c>
      <c r="M121" s="56">
        <v>0</v>
      </c>
      <c r="N121" s="56">
        <v>0</v>
      </c>
      <c r="O121" s="56">
        <v>3218000</v>
      </c>
      <c r="P121" s="56">
        <f t="shared" si="8"/>
        <v>3218000</v>
      </c>
      <c r="Q121" s="56">
        <f>G121+J121-P121</f>
        <v>5835000</v>
      </c>
    </row>
    <row r="122" ht="12.9" customHeight="1" spans="1:17">
      <c r="A122" s="46">
        <v>117</v>
      </c>
      <c r="B122" s="45" t="s">
        <v>302</v>
      </c>
      <c r="C122" s="46">
        <v>1660</v>
      </c>
      <c r="D122" s="56">
        <f>G122/C122</f>
        <v>4759.03614457831</v>
      </c>
      <c r="E122" s="45" t="s">
        <v>303</v>
      </c>
      <c r="F122" s="57">
        <v>45190</v>
      </c>
      <c r="G122" s="56">
        <v>7900000</v>
      </c>
      <c r="H122" s="49">
        <v>0</v>
      </c>
      <c r="I122" s="49">
        <v>0</v>
      </c>
      <c r="J122" s="56">
        <v>0</v>
      </c>
      <c r="K122" s="56">
        <v>0</v>
      </c>
      <c r="L122" s="56">
        <v>0</v>
      </c>
      <c r="M122" s="56">
        <v>0</v>
      </c>
      <c r="N122" s="56">
        <v>0</v>
      </c>
      <c r="O122" s="56">
        <v>2091425</v>
      </c>
      <c r="P122" s="56">
        <f t="shared" si="8"/>
        <v>2091425</v>
      </c>
      <c r="Q122" s="56">
        <f>G122+J122-P122</f>
        <v>5808575</v>
      </c>
    </row>
    <row r="123" ht="12.9" customHeight="1" spans="1:17">
      <c r="A123" s="46">
        <v>118</v>
      </c>
      <c r="B123" s="45" t="s">
        <v>304</v>
      </c>
      <c r="C123" s="46">
        <v>1360</v>
      </c>
      <c r="D123" s="56">
        <f>G123/C123</f>
        <v>4785.29411764706</v>
      </c>
      <c r="E123" s="45" t="s">
        <v>305</v>
      </c>
      <c r="F123" s="57">
        <v>44273</v>
      </c>
      <c r="G123" s="56">
        <v>6508000</v>
      </c>
      <c r="H123" s="49">
        <v>0</v>
      </c>
      <c r="I123" s="49">
        <v>0</v>
      </c>
      <c r="J123" s="56">
        <v>331880</v>
      </c>
      <c r="K123" s="56">
        <v>0</v>
      </c>
      <c r="L123" s="56">
        <v>225000</v>
      </c>
      <c r="M123" s="56">
        <v>4966000</v>
      </c>
      <c r="N123" s="56">
        <v>1605228</v>
      </c>
      <c r="O123" s="56">
        <v>43652</v>
      </c>
      <c r="P123" s="56">
        <f t="shared" si="8"/>
        <v>6839880</v>
      </c>
      <c r="Q123" s="56">
        <f>G123+J123-P123</f>
        <v>0</v>
      </c>
    </row>
    <row r="124" ht="12.9" customHeight="1" spans="1:17">
      <c r="A124" s="46">
        <v>119</v>
      </c>
      <c r="B124" s="45" t="s">
        <v>306</v>
      </c>
      <c r="C124" s="46">
        <v>1360</v>
      </c>
      <c r="D124" s="56">
        <f>G124/C124</f>
        <v>3650</v>
      </c>
      <c r="E124" s="45" t="s">
        <v>307</v>
      </c>
      <c r="F124" s="57">
        <v>44048</v>
      </c>
      <c r="G124" s="56">
        <v>4964000</v>
      </c>
      <c r="H124" s="49">
        <v>0</v>
      </c>
      <c r="I124" s="49">
        <v>0</v>
      </c>
      <c r="J124" s="56">
        <v>316818</v>
      </c>
      <c r="K124" s="56">
        <v>0</v>
      </c>
      <c r="L124" s="56">
        <v>3432000</v>
      </c>
      <c r="M124" s="56">
        <v>1780200</v>
      </c>
      <c r="N124" s="56">
        <v>0</v>
      </c>
      <c r="O124" s="56">
        <v>68618</v>
      </c>
      <c r="P124" s="56">
        <f t="shared" si="8"/>
        <v>5280818</v>
      </c>
      <c r="Q124" s="56">
        <f>G124+J124-P124</f>
        <v>0</v>
      </c>
    </row>
    <row r="125" ht="12.9" customHeight="1" spans="1:17">
      <c r="A125" s="46">
        <v>120</v>
      </c>
      <c r="B125" s="45" t="s">
        <v>308</v>
      </c>
      <c r="C125" s="46">
        <v>1360</v>
      </c>
      <c r="D125" s="56">
        <f>G125/C125</f>
        <v>5305.88235294118</v>
      </c>
      <c r="E125" s="45" t="s">
        <v>87</v>
      </c>
      <c r="F125" s="57">
        <v>44656</v>
      </c>
      <c r="G125" s="56">
        <v>7216000</v>
      </c>
      <c r="H125" s="49">
        <v>0</v>
      </c>
      <c r="I125" s="49">
        <v>0</v>
      </c>
      <c r="J125" s="56">
        <v>360800</v>
      </c>
      <c r="K125" s="49">
        <v>0</v>
      </c>
      <c r="L125" s="56">
        <v>0</v>
      </c>
      <c r="M125" s="56">
        <v>0</v>
      </c>
      <c r="N125" s="56">
        <v>225000</v>
      </c>
      <c r="O125" s="56">
        <v>7299720</v>
      </c>
      <c r="P125" s="56">
        <f t="shared" si="8"/>
        <v>7524720</v>
      </c>
      <c r="Q125" s="56">
        <f>G125+J125-P125</f>
        <v>52080</v>
      </c>
    </row>
    <row r="126" ht="12.9" customHeight="1" spans="1:17">
      <c r="A126" s="46">
        <v>121</v>
      </c>
      <c r="B126" s="45" t="s">
        <v>309</v>
      </c>
      <c r="C126" s="46">
        <v>1360</v>
      </c>
      <c r="D126" s="56">
        <f>G126/C126</f>
        <v>4183.82352941176</v>
      </c>
      <c r="E126" s="45" t="s">
        <v>310</v>
      </c>
      <c r="F126" s="57">
        <v>44079</v>
      </c>
      <c r="G126" s="56">
        <v>5690000</v>
      </c>
      <c r="H126" s="49">
        <v>0</v>
      </c>
      <c r="I126" s="49">
        <v>0</v>
      </c>
      <c r="J126" s="56">
        <v>338159</v>
      </c>
      <c r="K126" s="56">
        <v>0</v>
      </c>
      <c r="L126" s="56">
        <v>1574400</v>
      </c>
      <c r="M126" s="56">
        <v>2473000</v>
      </c>
      <c r="N126" s="56">
        <v>1947600</v>
      </c>
      <c r="O126" s="56">
        <v>33159</v>
      </c>
      <c r="P126" s="56">
        <f t="shared" si="8"/>
        <v>6028159</v>
      </c>
      <c r="Q126" s="56">
        <f>G126+J126-P126</f>
        <v>0</v>
      </c>
    </row>
    <row r="127" ht="12.9" customHeight="1" spans="1:17">
      <c r="A127" s="46">
        <v>122</v>
      </c>
      <c r="B127" s="45" t="s">
        <v>311</v>
      </c>
      <c r="C127" s="46">
        <v>1360</v>
      </c>
      <c r="D127" s="56">
        <f>G127/C127</f>
        <v>4385.29411764706</v>
      </c>
      <c r="E127" s="45" t="s">
        <v>312</v>
      </c>
      <c r="F127" s="57">
        <v>43890</v>
      </c>
      <c r="G127" s="56">
        <v>5964000</v>
      </c>
      <c r="H127" s="49">
        <v>0</v>
      </c>
      <c r="I127" s="49">
        <v>0</v>
      </c>
      <c r="J127" s="56">
        <v>298200</v>
      </c>
      <c r="K127" s="56">
        <v>225000</v>
      </c>
      <c r="L127" s="56">
        <v>895000</v>
      </c>
      <c r="M127" s="56">
        <v>1564000</v>
      </c>
      <c r="N127" s="56">
        <v>3330000</v>
      </c>
      <c r="O127" s="56">
        <v>279028</v>
      </c>
      <c r="P127" s="56">
        <f t="shared" si="8"/>
        <v>6293028</v>
      </c>
      <c r="Q127" s="56">
        <f>G127+J127-P127</f>
        <v>-30828</v>
      </c>
    </row>
    <row r="128" ht="12.9" customHeight="1" spans="1:17">
      <c r="A128" s="46">
        <v>123</v>
      </c>
      <c r="B128" s="45" t="s">
        <v>313</v>
      </c>
      <c r="C128" s="46">
        <v>1360</v>
      </c>
      <c r="D128" s="56">
        <f>G128/C128</f>
        <v>4435.29411764706</v>
      </c>
      <c r="E128" s="45" t="s">
        <v>314</v>
      </c>
      <c r="F128" s="57">
        <v>43895</v>
      </c>
      <c r="G128" s="56">
        <v>6032000</v>
      </c>
      <c r="H128" s="49">
        <v>0</v>
      </c>
      <c r="I128" s="49">
        <v>0</v>
      </c>
      <c r="J128" s="56">
        <v>372914</v>
      </c>
      <c r="K128" s="56">
        <v>0</v>
      </c>
      <c r="L128" s="56">
        <v>900000</v>
      </c>
      <c r="M128" s="56">
        <v>3766000</v>
      </c>
      <c r="N128" s="56">
        <v>1473428</v>
      </c>
      <c r="O128" s="56">
        <v>265486</v>
      </c>
      <c r="P128" s="56">
        <f t="shared" si="8"/>
        <v>6404914</v>
      </c>
      <c r="Q128" s="56">
        <f>G128+J128-P128</f>
        <v>0</v>
      </c>
    </row>
    <row r="129" ht="12.9" customHeight="1" spans="1:17">
      <c r="A129" s="46">
        <v>124</v>
      </c>
      <c r="B129" s="45" t="s">
        <v>315</v>
      </c>
      <c r="C129" s="46">
        <v>1360</v>
      </c>
      <c r="D129" s="56">
        <f>G129/C129</f>
        <v>4330.88235294118</v>
      </c>
      <c r="E129" s="45" t="s">
        <v>316</v>
      </c>
      <c r="F129" s="57">
        <v>43887</v>
      </c>
      <c r="G129" s="56">
        <v>5890000</v>
      </c>
      <c r="H129" s="49">
        <v>0</v>
      </c>
      <c r="I129" s="49">
        <v>0</v>
      </c>
      <c r="J129" s="56">
        <v>575328</v>
      </c>
      <c r="K129" s="56">
        <v>225000</v>
      </c>
      <c r="L129" s="56">
        <v>900000</v>
      </c>
      <c r="M129" s="56">
        <v>4000000</v>
      </c>
      <c r="N129" s="56">
        <v>816000</v>
      </c>
      <c r="O129" s="56">
        <v>524328</v>
      </c>
      <c r="P129" s="56">
        <f t="shared" si="8"/>
        <v>6465328</v>
      </c>
      <c r="Q129" s="56">
        <f>G129+J129-P129</f>
        <v>0</v>
      </c>
    </row>
    <row r="130" ht="12.9" customHeight="1" spans="1:17">
      <c r="A130" s="46">
        <v>125</v>
      </c>
      <c r="B130" s="45" t="s">
        <v>317</v>
      </c>
      <c r="C130" s="46">
        <v>1360</v>
      </c>
      <c r="D130" s="56">
        <f>G130/C130</f>
        <v>4485.29411764706</v>
      </c>
      <c r="E130" s="45" t="s">
        <v>318</v>
      </c>
      <c r="F130" s="57">
        <v>44048</v>
      </c>
      <c r="G130" s="56">
        <v>6100000</v>
      </c>
      <c r="H130" s="49">
        <v>0</v>
      </c>
      <c r="I130" s="49">
        <v>0</v>
      </c>
      <c r="J130" s="56">
        <v>295000</v>
      </c>
      <c r="K130" s="49">
        <v>0</v>
      </c>
      <c r="L130" s="56">
        <v>1646800</v>
      </c>
      <c r="M130" s="56">
        <v>1900000</v>
      </c>
      <c r="N130" s="56">
        <v>2384000</v>
      </c>
      <c r="O130" s="56">
        <v>406481</v>
      </c>
      <c r="P130" s="56">
        <f t="shared" si="8"/>
        <v>6337281</v>
      </c>
      <c r="Q130" s="56">
        <f>G130+J130-P130</f>
        <v>57719</v>
      </c>
    </row>
    <row r="131" ht="12.9" customHeight="1" spans="1:17">
      <c r="A131" s="46">
        <v>126</v>
      </c>
      <c r="B131" s="45" t="s">
        <v>319</v>
      </c>
      <c r="C131" s="46">
        <v>1360</v>
      </c>
      <c r="D131" s="56">
        <f>G131/C131</f>
        <v>3623.52941176471</v>
      </c>
      <c r="E131" s="45" t="s">
        <v>320</v>
      </c>
      <c r="F131" s="57">
        <v>43880</v>
      </c>
      <c r="G131" s="56">
        <v>4928000</v>
      </c>
      <c r="H131" s="49">
        <v>0</v>
      </c>
      <c r="I131" s="49">
        <v>0</v>
      </c>
      <c r="J131" s="56">
        <v>246400</v>
      </c>
      <c r="K131" s="49">
        <v>225000</v>
      </c>
      <c r="L131" s="56">
        <v>0</v>
      </c>
      <c r="M131" s="56">
        <v>2235400</v>
      </c>
      <c r="N131" s="56">
        <v>2266800</v>
      </c>
      <c r="O131" s="56">
        <v>478100</v>
      </c>
      <c r="P131" s="56">
        <f t="shared" si="8"/>
        <v>5205300</v>
      </c>
      <c r="Q131" s="56">
        <f>G131+J131-P131</f>
        <v>-30900</v>
      </c>
    </row>
    <row r="132" ht="12.9" customHeight="1" spans="1:17">
      <c r="A132" s="46">
        <v>127</v>
      </c>
      <c r="B132" s="45" t="s">
        <v>321</v>
      </c>
      <c r="C132" s="46">
        <v>1360</v>
      </c>
      <c r="D132" s="56">
        <f>G132/C132</f>
        <v>4435.29411764706</v>
      </c>
      <c r="E132" s="45" t="s">
        <v>322</v>
      </c>
      <c r="F132" s="57">
        <v>44110</v>
      </c>
      <c r="G132" s="56">
        <v>6032000</v>
      </c>
      <c r="H132" s="49">
        <v>0</v>
      </c>
      <c r="I132" s="49">
        <v>0</v>
      </c>
      <c r="J132" s="56">
        <v>301600</v>
      </c>
      <c r="K132" s="56">
        <v>0</v>
      </c>
      <c r="L132" s="56">
        <v>1207000</v>
      </c>
      <c r="M132" s="56"/>
      <c r="N132" s="56">
        <v>5126600</v>
      </c>
      <c r="O132" s="56">
        <v>0</v>
      </c>
      <c r="P132" s="56">
        <f t="shared" si="8"/>
        <v>6333600</v>
      </c>
      <c r="Q132" s="56">
        <f>G132+J132-P132</f>
        <v>0</v>
      </c>
    </row>
    <row r="133" ht="12.9" customHeight="1" spans="1:17">
      <c r="A133" s="46">
        <v>128</v>
      </c>
      <c r="B133" s="45" t="s">
        <v>323</v>
      </c>
      <c r="C133" s="46">
        <v>1360</v>
      </c>
      <c r="D133" s="56">
        <f>G133/C133</f>
        <v>4385.29411764706</v>
      </c>
      <c r="E133" s="45" t="s">
        <v>324</v>
      </c>
      <c r="F133" s="57">
        <v>44000</v>
      </c>
      <c r="G133" s="56">
        <v>5964000</v>
      </c>
      <c r="H133" s="49">
        <v>0</v>
      </c>
      <c r="I133" s="49">
        <v>0</v>
      </c>
      <c r="J133" s="56">
        <v>329028</v>
      </c>
      <c r="K133" s="56">
        <v>0</v>
      </c>
      <c r="L133" s="56">
        <v>3620000</v>
      </c>
      <c r="M133" s="56">
        <v>1388000</v>
      </c>
      <c r="N133" s="56">
        <v>929000</v>
      </c>
      <c r="O133" s="56">
        <v>356028</v>
      </c>
      <c r="P133" s="56">
        <f t="shared" si="8"/>
        <v>6293028</v>
      </c>
      <c r="Q133" s="56">
        <f>G133+J133-P133</f>
        <v>0</v>
      </c>
    </row>
    <row r="134" ht="12.9" customHeight="1" spans="1:17">
      <c r="A134" s="46">
        <v>129</v>
      </c>
      <c r="B134" s="45" t="s">
        <v>325</v>
      </c>
      <c r="C134" s="46">
        <v>1360</v>
      </c>
      <c r="D134" s="56">
        <f>G134/C134</f>
        <v>4385.29411764706</v>
      </c>
      <c r="E134" s="45" t="s">
        <v>326</v>
      </c>
      <c r="F134" s="57">
        <v>44000</v>
      </c>
      <c r="G134" s="56">
        <v>5964000</v>
      </c>
      <c r="H134" s="49">
        <v>0</v>
      </c>
      <c r="I134" s="49">
        <v>0</v>
      </c>
      <c r="J134" s="56">
        <v>327087</v>
      </c>
      <c r="K134" s="56">
        <v>0</v>
      </c>
      <c r="L134" s="56">
        <v>1120000</v>
      </c>
      <c r="M134" s="56">
        <v>2322000</v>
      </c>
      <c r="N134" s="56">
        <v>2826528</v>
      </c>
      <c r="O134" s="56">
        <v>22559</v>
      </c>
      <c r="P134" s="56">
        <f t="shared" si="8"/>
        <v>6291087</v>
      </c>
      <c r="Q134" s="56">
        <f>G134+J134-P134</f>
        <v>0</v>
      </c>
    </row>
    <row r="135" ht="12.9" customHeight="1" spans="1:17">
      <c r="A135" s="46">
        <v>130</v>
      </c>
      <c r="B135" s="45" t="s">
        <v>327</v>
      </c>
      <c r="C135" s="46">
        <v>1360</v>
      </c>
      <c r="D135" s="56">
        <f>G135/C135</f>
        <v>3647.79411764706</v>
      </c>
      <c r="E135" s="45" t="s">
        <v>328</v>
      </c>
      <c r="F135" s="57">
        <v>43869</v>
      </c>
      <c r="G135" s="56">
        <v>4961000</v>
      </c>
      <c r="H135" s="49">
        <v>0</v>
      </c>
      <c r="I135" s="49">
        <v>0</v>
      </c>
      <c r="J135" s="56">
        <v>253478</v>
      </c>
      <c r="K135" s="56">
        <v>235000</v>
      </c>
      <c r="L135" s="56">
        <v>0</v>
      </c>
      <c r="M135" s="56">
        <v>2186000</v>
      </c>
      <c r="N135" s="56">
        <v>2018516</v>
      </c>
      <c r="O135" s="56">
        <v>769534</v>
      </c>
      <c r="P135" s="56">
        <f t="shared" si="8"/>
        <v>5209050</v>
      </c>
      <c r="Q135" s="56">
        <f>G135+J135-P135</f>
        <v>5428</v>
      </c>
    </row>
    <row r="136" ht="12.9" customHeight="1" spans="1:17">
      <c r="A136" s="46">
        <v>131</v>
      </c>
      <c r="B136" s="45" t="s">
        <v>329</v>
      </c>
      <c r="C136" s="46">
        <v>1360</v>
      </c>
      <c r="D136" s="56">
        <f>G136/C136</f>
        <v>5805.88235294118</v>
      </c>
      <c r="E136" s="45" t="s">
        <v>330</v>
      </c>
      <c r="F136" s="57">
        <v>44804</v>
      </c>
      <c r="G136" s="56">
        <v>7896000</v>
      </c>
      <c r="H136" s="49">
        <v>0</v>
      </c>
      <c r="I136" s="49">
        <v>0</v>
      </c>
      <c r="J136" s="56">
        <v>475928</v>
      </c>
      <c r="K136" s="56">
        <v>0</v>
      </c>
      <c r="L136" s="56">
        <v>0</v>
      </c>
      <c r="M136" s="56">
        <v>0</v>
      </c>
      <c r="N136" s="56">
        <v>6599000</v>
      </c>
      <c r="O136" s="56">
        <v>1772928</v>
      </c>
      <c r="P136" s="56">
        <f t="shared" si="8"/>
        <v>8371928</v>
      </c>
      <c r="Q136" s="56">
        <f>G136+J136-P136</f>
        <v>0</v>
      </c>
    </row>
    <row r="137" ht="12.9" customHeight="1" spans="1:17">
      <c r="A137" s="46">
        <v>132</v>
      </c>
      <c r="B137" s="45" t="s">
        <v>331</v>
      </c>
      <c r="C137" s="46">
        <v>1360</v>
      </c>
      <c r="D137" s="56">
        <f>G137/C137</f>
        <v>4264.70588235294</v>
      </c>
      <c r="E137" s="45" t="s">
        <v>332</v>
      </c>
      <c r="F137" s="57">
        <v>44079</v>
      </c>
      <c r="G137" s="56">
        <v>5800000</v>
      </c>
      <c r="H137" s="49">
        <v>0</v>
      </c>
      <c r="I137" s="49">
        <v>0</v>
      </c>
      <c r="J137" s="56">
        <v>359998</v>
      </c>
      <c r="K137" s="56">
        <v>0</v>
      </c>
      <c r="L137" s="56">
        <v>1938500</v>
      </c>
      <c r="M137" s="56">
        <v>1698500</v>
      </c>
      <c r="N137" s="56">
        <v>1815000</v>
      </c>
      <c r="O137" s="56">
        <v>707998</v>
      </c>
      <c r="P137" s="56">
        <f t="shared" si="8"/>
        <v>6159998</v>
      </c>
      <c r="Q137" s="56">
        <f>G137+J137-P137</f>
        <v>0</v>
      </c>
    </row>
    <row r="138" ht="12.9" customHeight="1" spans="1:17">
      <c r="A138" s="46">
        <v>133</v>
      </c>
      <c r="B138" s="45" t="s">
        <v>333</v>
      </c>
      <c r="C138" s="46">
        <v>1360</v>
      </c>
      <c r="D138" s="56">
        <f>G138/C138</f>
        <v>4200</v>
      </c>
      <c r="E138" s="45" t="s">
        <v>334</v>
      </c>
      <c r="F138" s="57">
        <v>44426</v>
      </c>
      <c r="G138" s="56">
        <v>5712000</v>
      </c>
      <c r="H138" s="49">
        <v>0</v>
      </c>
      <c r="I138" s="49">
        <v>0</v>
      </c>
      <c r="J138" s="56">
        <v>248428</v>
      </c>
      <c r="K138" s="56">
        <v>0</v>
      </c>
      <c r="L138" s="56">
        <v>0</v>
      </c>
      <c r="M138" s="56">
        <v>3167600</v>
      </c>
      <c r="N138" s="56">
        <v>2732031</v>
      </c>
      <c r="O138" s="56">
        <v>60797</v>
      </c>
      <c r="P138" s="56">
        <f t="shared" si="8"/>
        <v>5960428</v>
      </c>
      <c r="Q138" s="56">
        <f>G138+J138-P138</f>
        <v>0</v>
      </c>
    </row>
    <row r="139" ht="12.9" customHeight="1" spans="1:17">
      <c r="A139" s="46">
        <v>134</v>
      </c>
      <c r="B139" s="45" t="s">
        <v>335</v>
      </c>
      <c r="C139" s="46">
        <v>1360</v>
      </c>
      <c r="D139" s="56">
        <f>G139/C139</f>
        <v>4936.02941176471</v>
      </c>
      <c r="E139" s="45" t="s">
        <v>336</v>
      </c>
      <c r="F139" s="57">
        <v>44421</v>
      </c>
      <c r="G139" s="56">
        <v>6713000</v>
      </c>
      <c r="H139" s="49">
        <v>0</v>
      </c>
      <c r="I139" s="49">
        <v>0</v>
      </c>
      <c r="J139" s="56">
        <v>251659</v>
      </c>
      <c r="K139" s="56">
        <v>0</v>
      </c>
      <c r="L139" s="56">
        <v>0</v>
      </c>
      <c r="M139" s="56">
        <v>3872000</v>
      </c>
      <c r="N139" s="56">
        <v>2653450</v>
      </c>
      <c r="O139" s="56">
        <v>455200</v>
      </c>
      <c r="P139" s="56">
        <f t="shared" si="8"/>
        <v>6980650</v>
      </c>
      <c r="Q139" s="56">
        <f>G139+J139-P139</f>
        <v>-15991</v>
      </c>
    </row>
    <row r="140" ht="12.9" customHeight="1" spans="1:17">
      <c r="A140" s="46">
        <v>135</v>
      </c>
      <c r="B140" s="45" t="s">
        <v>337</v>
      </c>
      <c r="C140" s="46">
        <v>1360</v>
      </c>
      <c r="D140" s="56">
        <f>G140/C140</f>
        <v>6007.35294117647</v>
      </c>
      <c r="E140" s="45" t="s">
        <v>338</v>
      </c>
      <c r="F140" s="57">
        <v>45244</v>
      </c>
      <c r="G140" s="56">
        <v>8170000</v>
      </c>
      <c r="H140" s="49">
        <v>0</v>
      </c>
      <c r="I140" s="49">
        <v>0</v>
      </c>
      <c r="J140" s="56">
        <v>0</v>
      </c>
      <c r="K140" s="56">
        <v>0</v>
      </c>
      <c r="L140" s="56">
        <v>0</v>
      </c>
      <c r="M140" s="56">
        <v>0</v>
      </c>
      <c r="N140" s="56">
        <v>0</v>
      </c>
      <c r="O140" s="56">
        <v>8709489</v>
      </c>
      <c r="P140" s="56">
        <f t="shared" si="8"/>
        <v>8709489</v>
      </c>
      <c r="Q140" s="56">
        <f>G140+J140-P140</f>
        <v>-539489</v>
      </c>
    </row>
    <row r="141" ht="12.9" customHeight="1" spans="1:17">
      <c r="A141" s="46">
        <v>136</v>
      </c>
      <c r="B141" s="45" t="s">
        <v>339</v>
      </c>
      <c r="C141" s="46">
        <v>1360</v>
      </c>
      <c r="D141" s="56">
        <f>G141/C141</f>
        <v>4297.05882352941</v>
      </c>
      <c r="E141" s="45" t="s">
        <v>340</v>
      </c>
      <c r="F141" s="57">
        <v>44410</v>
      </c>
      <c r="G141" s="56">
        <v>5844000</v>
      </c>
      <c r="H141" s="49">
        <v>0</v>
      </c>
      <c r="I141" s="49">
        <v>0</v>
      </c>
      <c r="J141" s="56">
        <v>146200</v>
      </c>
      <c r="K141" s="56">
        <v>0</v>
      </c>
      <c r="L141" s="56">
        <v>0</v>
      </c>
      <c r="M141" s="56">
        <v>225000</v>
      </c>
      <c r="N141" s="56">
        <v>1500000</v>
      </c>
      <c r="O141" s="56">
        <v>0</v>
      </c>
      <c r="P141" s="56">
        <f t="shared" si="8"/>
        <v>1725000</v>
      </c>
      <c r="Q141" s="56">
        <f>G141+J141-P141</f>
        <v>4265200</v>
      </c>
    </row>
    <row r="142" ht="12.9" customHeight="1" spans="1:17">
      <c r="A142" s="46">
        <v>137</v>
      </c>
      <c r="B142" s="45" t="s">
        <v>341</v>
      </c>
      <c r="C142" s="46">
        <v>1360</v>
      </c>
      <c r="D142" s="56">
        <f>G142/C142</f>
        <v>4834.55882352941</v>
      </c>
      <c r="E142" s="45" t="s">
        <v>342</v>
      </c>
      <c r="F142" s="57">
        <v>44193</v>
      </c>
      <c r="G142" s="56">
        <v>6575000</v>
      </c>
      <c r="H142" s="49">
        <v>0</v>
      </c>
      <c r="I142" s="49">
        <v>0</v>
      </c>
      <c r="J142" s="56">
        <v>396830</v>
      </c>
      <c r="K142" s="56">
        <v>0</v>
      </c>
      <c r="L142" s="56">
        <v>1211000</v>
      </c>
      <c r="M142" s="56">
        <v>4131000</v>
      </c>
      <c r="N142" s="56">
        <v>53420</v>
      </c>
      <c r="O142" s="56">
        <v>1576410</v>
      </c>
      <c r="P142" s="56">
        <f t="shared" si="8"/>
        <v>6971830</v>
      </c>
      <c r="Q142" s="56">
        <f>G142+J142-P142</f>
        <v>0</v>
      </c>
    </row>
    <row r="143" ht="12.9" customHeight="1" spans="1:17">
      <c r="A143" s="46">
        <v>138</v>
      </c>
      <c r="B143" s="45" t="s">
        <v>343</v>
      </c>
      <c r="C143" s="46">
        <v>1360</v>
      </c>
      <c r="D143" s="56">
        <v>6153.67647058824</v>
      </c>
      <c r="E143" s="45" t="s">
        <v>344</v>
      </c>
      <c r="F143" s="57">
        <v>45298</v>
      </c>
      <c r="G143" s="56">
        <v>8369000</v>
      </c>
      <c r="H143" s="49"/>
      <c r="I143" s="49"/>
      <c r="J143" s="56"/>
      <c r="K143" s="56">
        <v>0</v>
      </c>
      <c r="L143" s="56">
        <v>0</v>
      </c>
      <c r="M143" s="56"/>
      <c r="N143" s="56"/>
      <c r="O143" s="56">
        <v>6825000</v>
      </c>
      <c r="P143" s="56">
        <f t="shared" si="8"/>
        <v>6825000</v>
      </c>
      <c r="Q143" s="56"/>
    </row>
    <row r="144" ht="12.9" customHeight="1" spans="1:17">
      <c r="A144" s="46">
        <v>139</v>
      </c>
      <c r="B144" s="45" t="s">
        <v>345</v>
      </c>
      <c r="C144" s="46">
        <v>1360</v>
      </c>
      <c r="D144" s="56">
        <f>G144/C144</f>
        <v>4080.88235294118</v>
      </c>
      <c r="E144" s="45" t="s">
        <v>346</v>
      </c>
      <c r="F144" s="57">
        <v>44193</v>
      </c>
      <c r="G144" s="56">
        <v>5550000</v>
      </c>
      <c r="H144" s="49">
        <v>0</v>
      </c>
      <c r="I144" s="49">
        <v>0</v>
      </c>
      <c r="J144" s="56">
        <v>310688</v>
      </c>
      <c r="K144" s="56">
        <v>0</v>
      </c>
      <c r="L144" s="56">
        <v>225000</v>
      </c>
      <c r="M144" s="56">
        <v>2551000</v>
      </c>
      <c r="N144" s="56">
        <v>1543000</v>
      </c>
      <c r="O144" s="56">
        <v>1541688</v>
      </c>
      <c r="P144" s="56">
        <f t="shared" si="8"/>
        <v>5860688</v>
      </c>
      <c r="Q144" s="56">
        <f t="shared" ref="Q144:Q181" si="9">G144+J144-P144</f>
        <v>0</v>
      </c>
    </row>
    <row r="145" ht="12.9" customHeight="1" spans="1:17">
      <c r="A145" s="46">
        <v>140</v>
      </c>
      <c r="B145" s="45" t="s">
        <v>347</v>
      </c>
      <c r="C145" s="46">
        <v>1360</v>
      </c>
      <c r="D145" s="56">
        <f>G145/C145</f>
        <v>3802.94117647059</v>
      </c>
      <c r="E145" s="45" t="s">
        <v>348</v>
      </c>
      <c r="F145" s="57">
        <v>44270</v>
      </c>
      <c r="G145" s="56">
        <v>5172000</v>
      </c>
      <c r="H145" s="49">
        <v>0</v>
      </c>
      <c r="I145" s="49">
        <v>0</v>
      </c>
      <c r="J145" s="56">
        <v>320913</v>
      </c>
      <c r="K145" s="56">
        <v>0</v>
      </c>
      <c r="L145" s="56">
        <v>200000</v>
      </c>
      <c r="M145" s="56">
        <v>2223000</v>
      </c>
      <c r="N145" s="56">
        <v>1530000</v>
      </c>
      <c r="O145" s="56">
        <v>1539913</v>
      </c>
      <c r="P145" s="56">
        <f t="shared" si="8"/>
        <v>5492913</v>
      </c>
      <c r="Q145" s="56">
        <f t="shared" si="9"/>
        <v>0</v>
      </c>
    </row>
    <row r="146" ht="12.9" customHeight="1" spans="1:17">
      <c r="A146" s="46">
        <v>141</v>
      </c>
      <c r="B146" s="45" t="s">
        <v>349</v>
      </c>
      <c r="C146" s="46">
        <v>1360</v>
      </c>
      <c r="D146" s="56">
        <f>G146/C146</f>
        <v>3950</v>
      </c>
      <c r="E146" s="45" t="s">
        <v>350</v>
      </c>
      <c r="F146" s="57">
        <v>44203</v>
      </c>
      <c r="G146" s="56">
        <v>5372000</v>
      </c>
      <c r="H146" s="49">
        <v>0</v>
      </c>
      <c r="I146" s="49">
        <v>0</v>
      </c>
      <c r="J146" s="56">
        <v>258600</v>
      </c>
      <c r="K146" s="56">
        <v>0</v>
      </c>
      <c r="L146" s="56">
        <v>225000</v>
      </c>
      <c r="M146" s="56">
        <v>2462000</v>
      </c>
      <c r="N146" s="56">
        <v>1487200</v>
      </c>
      <c r="O146" s="56">
        <v>1273028</v>
      </c>
      <c r="P146" s="56">
        <f t="shared" si="8"/>
        <v>5447228</v>
      </c>
      <c r="Q146" s="56">
        <f t="shared" si="9"/>
        <v>183372</v>
      </c>
    </row>
    <row r="147" ht="12.9" customHeight="1" spans="1:17">
      <c r="A147" s="46">
        <v>142</v>
      </c>
      <c r="B147" s="45" t="s">
        <v>351</v>
      </c>
      <c r="C147" s="46">
        <v>1360</v>
      </c>
      <c r="D147" s="56">
        <f>G147/C147</f>
        <v>4935.29411764706</v>
      </c>
      <c r="E147" s="45" t="s">
        <v>352</v>
      </c>
      <c r="F147" s="57">
        <v>44426</v>
      </c>
      <c r="G147" s="56">
        <v>6712000</v>
      </c>
      <c r="H147" s="49">
        <v>0</v>
      </c>
      <c r="I147" s="49">
        <v>0</v>
      </c>
      <c r="J147" s="56">
        <v>325600</v>
      </c>
      <c r="K147" s="56">
        <v>0</v>
      </c>
      <c r="L147" s="56">
        <v>0</v>
      </c>
      <c r="M147" s="56">
        <v>3872000</v>
      </c>
      <c r="N147" s="56">
        <v>1584000</v>
      </c>
      <c r="O147" s="56">
        <v>1616100</v>
      </c>
      <c r="P147" s="56">
        <f t="shared" si="8"/>
        <v>7072100</v>
      </c>
      <c r="Q147" s="56">
        <f t="shared" si="9"/>
        <v>-34500</v>
      </c>
    </row>
    <row r="148" ht="12.9" customHeight="1" spans="1:17">
      <c r="A148" s="46">
        <v>143</v>
      </c>
      <c r="B148" s="45" t="s">
        <v>353</v>
      </c>
      <c r="C148" s="46">
        <v>1360</v>
      </c>
      <c r="D148" s="56">
        <f>G148/C148</f>
        <v>4935.29411764706</v>
      </c>
      <c r="E148" s="45" t="s">
        <v>354</v>
      </c>
      <c r="F148" s="57">
        <v>44299</v>
      </c>
      <c r="G148" s="56">
        <v>6712000</v>
      </c>
      <c r="H148" s="49">
        <v>0</v>
      </c>
      <c r="I148" s="49">
        <v>0</v>
      </c>
      <c r="J148" s="56">
        <v>325600</v>
      </c>
      <c r="K148" s="56">
        <v>0</v>
      </c>
      <c r="L148" s="56">
        <v>0</v>
      </c>
      <c r="M148" s="56">
        <v>3712000</v>
      </c>
      <c r="N148" s="56">
        <v>2296000</v>
      </c>
      <c r="O148" s="56">
        <v>1070428</v>
      </c>
      <c r="P148" s="56">
        <f t="shared" si="8"/>
        <v>7078428</v>
      </c>
      <c r="Q148" s="56">
        <f t="shared" si="9"/>
        <v>-40828</v>
      </c>
    </row>
    <row r="149" ht="12.9" customHeight="1" spans="1:17">
      <c r="A149" s="46">
        <v>144</v>
      </c>
      <c r="B149" s="45" t="s">
        <v>355</v>
      </c>
      <c r="C149" s="46">
        <v>1360</v>
      </c>
      <c r="D149" s="56">
        <f t="shared" ref="D149:D181" si="10">G149/C149</f>
        <v>4686.02941176471</v>
      </c>
      <c r="E149" s="45" t="s">
        <v>356</v>
      </c>
      <c r="F149" s="57">
        <v>44193</v>
      </c>
      <c r="G149" s="56">
        <v>6373000</v>
      </c>
      <c r="H149" s="49">
        <v>0</v>
      </c>
      <c r="I149" s="49">
        <v>0</v>
      </c>
      <c r="J149" s="56">
        <v>324078</v>
      </c>
      <c r="K149" s="56">
        <v>0</v>
      </c>
      <c r="L149" s="56">
        <v>1225000</v>
      </c>
      <c r="M149" s="56">
        <v>1515000</v>
      </c>
      <c r="N149" s="56">
        <v>1800000</v>
      </c>
      <c r="O149" s="56">
        <v>2182058</v>
      </c>
      <c r="P149" s="56">
        <f t="shared" ref="P149:P180" si="11">SUM(K149:O149)</f>
        <v>6722058</v>
      </c>
      <c r="Q149" s="56">
        <f t="shared" si="9"/>
        <v>-24980</v>
      </c>
    </row>
    <row r="150" ht="12.9" customHeight="1" spans="1:17">
      <c r="A150" s="46">
        <v>145</v>
      </c>
      <c r="B150" s="45" t="s">
        <v>357</v>
      </c>
      <c r="C150" s="46">
        <v>1360</v>
      </c>
      <c r="D150" s="56">
        <f t="shared" si="10"/>
        <v>6039.70588235294</v>
      </c>
      <c r="E150" s="45" t="s">
        <v>358</v>
      </c>
      <c r="F150" s="57">
        <v>44944</v>
      </c>
      <c r="G150" s="56">
        <v>8214000</v>
      </c>
      <c r="H150" s="49">
        <v>0</v>
      </c>
      <c r="I150" s="49">
        <v>0</v>
      </c>
      <c r="J150" s="56">
        <v>404028</v>
      </c>
      <c r="K150" s="56"/>
      <c r="L150" s="56"/>
      <c r="M150" s="56"/>
      <c r="N150" s="59">
        <v>0</v>
      </c>
      <c r="O150" s="56">
        <v>8624700</v>
      </c>
      <c r="P150" s="56">
        <f t="shared" si="11"/>
        <v>8624700</v>
      </c>
      <c r="Q150" s="56">
        <f t="shared" si="9"/>
        <v>-6672</v>
      </c>
    </row>
    <row r="151" ht="12.9" customHeight="1" spans="1:17">
      <c r="A151" s="46">
        <v>146</v>
      </c>
      <c r="B151" s="45" t="s">
        <v>359</v>
      </c>
      <c r="C151" s="46">
        <v>1360</v>
      </c>
      <c r="D151" s="56">
        <f t="shared" si="10"/>
        <v>4686.02941176471</v>
      </c>
      <c r="E151" s="45" t="s">
        <v>360</v>
      </c>
      <c r="F151" s="57">
        <v>44193</v>
      </c>
      <c r="G151" s="56">
        <v>6373000</v>
      </c>
      <c r="H151" s="49">
        <v>0</v>
      </c>
      <c r="I151" s="49">
        <v>0</v>
      </c>
      <c r="J151" s="56">
        <v>223842</v>
      </c>
      <c r="K151" s="56">
        <v>0</v>
      </c>
      <c r="L151" s="56">
        <v>1191000</v>
      </c>
      <c r="M151" s="56">
        <v>3025000</v>
      </c>
      <c r="N151" s="56">
        <v>1000000</v>
      </c>
      <c r="O151" s="56">
        <v>1381480</v>
      </c>
      <c r="P151" s="56">
        <f t="shared" si="11"/>
        <v>6597480</v>
      </c>
      <c r="Q151" s="56">
        <f t="shared" si="9"/>
        <v>-638</v>
      </c>
    </row>
    <row r="152" ht="12.9" customHeight="1" spans="1:17">
      <c r="A152" s="46">
        <v>147</v>
      </c>
      <c r="B152" s="45" t="s">
        <v>361</v>
      </c>
      <c r="C152" s="46">
        <v>1360</v>
      </c>
      <c r="D152" s="56">
        <f t="shared" si="10"/>
        <v>4980.88235294118</v>
      </c>
      <c r="E152" s="45" t="s">
        <v>362</v>
      </c>
      <c r="F152" s="57">
        <v>44429</v>
      </c>
      <c r="G152" s="56">
        <v>6774000</v>
      </c>
      <c r="H152" s="49">
        <v>0</v>
      </c>
      <c r="I152" s="49">
        <v>0</v>
      </c>
      <c r="J152" s="56">
        <v>344128</v>
      </c>
      <c r="K152" s="56">
        <v>0</v>
      </c>
      <c r="L152" s="56">
        <v>0</v>
      </c>
      <c r="M152" s="56">
        <v>3918000</v>
      </c>
      <c r="N152" s="56">
        <v>1635000</v>
      </c>
      <c r="O152" s="56">
        <v>1592000</v>
      </c>
      <c r="P152" s="56">
        <f t="shared" si="11"/>
        <v>7145000</v>
      </c>
      <c r="Q152" s="56">
        <f t="shared" si="9"/>
        <v>-26872</v>
      </c>
    </row>
    <row r="153" ht="12.9" customHeight="1" spans="1:17">
      <c r="A153" s="46">
        <v>148</v>
      </c>
      <c r="B153" s="45" t="s">
        <v>363</v>
      </c>
      <c r="C153" s="46">
        <v>1360</v>
      </c>
      <c r="D153" s="56">
        <f t="shared" si="10"/>
        <v>5702.94117647059</v>
      </c>
      <c r="E153" s="45" t="s">
        <v>364</v>
      </c>
      <c r="F153" s="57">
        <v>44709</v>
      </c>
      <c r="G153" s="56">
        <v>7756000</v>
      </c>
      <c r="H153" s="49">
        <v>0</v>
      </c>
      <c r="I153" s="49">
        <v>0</v>
      </c>
      <c r="J153" s="56">
        <v>396178</v>
      </c>
      <c r="K153" s="56">
        <v>0</v>
      </c>
      <c r="L153" s="56">
        <v>0</v>
      </c>
      <c r="M153" s="56">
        <v>0</v>
      </c>
      <c r="N153" s="56">
        <v>6358000</v>
      </c>
      <c r="O153" s="56">
        <v>1794325</v>
      </c>
      <c r="P153" s="56">
        <f t="shared" si="11"/>
        <v>8152325</v>
      </c>
      <c r="Q153" s="56">
        <f t="shared" si="9"/>
        <v>-147</v>
      </c>
    </row>
    <row r="154" ht="12.9" customHeight="1" spans="1:17">
      <c r="A154" s="46">
        <v>149</v>
      </c>
      <c r="B154" s="45" t="s">
        <v>365</v>
      </c>
      <c r="C154" s="46">
        <v>1360</v>
      </c>
      <c r="D154" s="56">
        <f t="shared" si="10"/>
        <v>4736.02941176471</v>
      </c>
      <c r="E154" s="45" t="s">
        <v>366</v>
      </c>
      <c r="F154" s="57">
        <v>44171</v>
      </c>
      <c r="G154" s="56">
        <v>6441000</v>
      </c>
      <c r="H154" s="49">
        <v>0</v>
      </c>
      <c r="I154" s="49">
        <v>0</v>
      </c>
      <c r="J154" s="56">
        <v>327478</v>
      </c>
      <c r="K154" s="56">
        <v>0</v>
      </c>
      <c r="L154" s="56">
        <v>1191000</v>
      </c>
      <c r="M154" s="56">
        <v>2550000</v>
      </c>
      <c r="N154" s="56">
        <v>1300000</v>
      </c>
      <c r="O154" s="56">
        <v>1684878</v>
      </c>
      <c r="P154" s="56">
        <f t="shared" si="11"/>
        <v>6725878</v>
      </c>
      <c r="Q154" s="56">
        <f t="shared" si="9"/>
        <v>42600</v>
      </c>
    </row>
    <row r="155" ht="12.9" customHeight="1" spans="1:17">
      <c r="A155" s="46">
        <v>150</v>
      </c>
      <c r="B155" s="45" t="s">
        <v>367</v>
      </c>
      <c r="C155" s="46">
        <v>1360</v>
      </c>
      <c r="D155" s="56">
        <f t="shared" si="10"/>
        <v>4384.55882352941</v>
      </c>
      <c r="E155" s="45" t="s">
        <v>368</v>
      </c>
      <c r="F155" s="57">
        <v>44486</v>
      </c>
      <c r="G155" s="56">
        <v>5963000</v>
      </c>
      <c r="H155" s="49">
        <v>0</v>
      </c>
      <c r="I155" s="49">
        <v>0</v>
      </c>
      <c r="J155" s="56">
        <v>298150</v>
      </c>
      <c r="K155" s="56">
        <v>0</v>
      </c>
      <c r="L155" s="56">
        <v>0</v>
      </c>
      <c r="M155" s="56">
        <v>2781000</v>
      </c>
      <c r="N155" s="56">
        <v>1789000</v>
      </c>
      <c r="O155" s="56">
        <v>1721978</v>
      </c>
      <c r="P155" s="56">
        <f t="shared" si="11"/>
        <v>6291978</v>
      </c>
      <c r="Q155" s="56">
        <f t="shared" si="9"/>
        <v>-30828</v>
      </c>
    </row>
    <row r="156" ht="12.9" customHeight="1" spans="1:17">
      <c r="A156" s="46">
        <v>151</v>
      </c>
      <c r="B156" s="45" t="s">
        <v>369</v>
      </c>
      <c r="C156" s="46">
        <v>1360</v>
      </c>
      <c r="D156" s="56">
        <f t="shared" si="10"/>
        <v>4685.29411764706</v>
      </c>
      <c r="E156" s="45" t="s">
        <v>370</v>
      </c>
      <c r="F156" s="57">
        <v>44283</v>
      </c>
      <c r="G156" s="56">
        <v>6372000</v>
      </c>
      <c r="H156" s="49">
        <v>0</v>
      </c>
      <c r="I156" s="49">
        <v>0</v>
      </c>
      <c r="J156" s="56">
        <v>349428</v>
      </c>
      <c r="K156" s="56">
        <v>0</v>
      </c>
      <c r="L156" s="56">
        <v>25000</v>
      </c>
      <c r="M156" s="56">
        <v>4733000</v>
      </c>
      <c r="N156" s="56">
        <v>1530000</v>
      </c>
      <c r="O156" s="56">
        <v>433428</v>
      </c>
      <c r="P156" s="56">
        <f t="shared" si="11"/>
        <v>6721428</v>
      </c>
      <c r="Q156" s="56">
        <f t="shared" si="9"/>
        <v>0</v>
      </c>
    </row>
    <row r="157" ht="12.9" customHeight="1" spans="1:17">
      <c r="A157" s="46">
        <v>152</v>
      </c>
      <c r="B157" s="45" t="s">
        <v>371</v>
      </c>
      <c r="C157" s="46">
        <v>1360</v>
      </c>
      <c r="D157" s="56">
        <f t="shared" si="10"/>
        <v>5955.88235294118</v>
      </c>
      <c r="E157" s="45" t="s">
        <v>372</v>
      </c>
      <c r="F157" s="57">
        <v>44851</v>
      </c>
      <c r="G157" s="56">
        <v>8100000</v>
      </c>
      <c r="H157" s="49">
        <v>0</v>
      </c>
      <c r="I157" s="49">
        <v>0</v>
      </c>
      <c r="J157" s="56">
        <v>407600</v>
      </c>
      <c r="K157" s="56">
        <v>0</v>
      </c>
      <c r="L157" s="56">
        <v>0</v>
      </c>
      <c r="M157" s="56">
        <v>0</v>
      </c>
      <c r="N157" s="56">
        <v>6608000</v>
      </c>
      <c r="O157" s="56">
        <v>1899600</v>
      </c>
      <c r="P157" s="56">
        <f t="shared" si="11"/>
        <v>8507600</v>
      </c>
      <c r="Q157" s="56">
        <f t="shared" si="9"/>
        <v>0</v>
      </c>
    </row>
    <row r="158" ht="12.9" customHeight="1" spans="1:17">
      <c r="A158" s="46">
        <v>153</v>
      </c>
      <c r="B158" s="45" t="s">
        <v>373</v>
      </c>
      <c r="C158" s="46">
        <v>1360</v>
      </c>
      <c r="D158" s="56">
        <f t="shared" si="10"/>
        <v>4685.29411764706</v>
      </c>
      <c r="E158" s="45" t="s">
        <v>374</v>
      </c>
      <c r="F158" s="57">
        <v>44269</v>
      </c>
      <c r="G158" s="56">
        <v>6372000</v>
      </c>
      <c r="H158" s="49">
        <v>0</v>
      </c>
      <c r="I158" s="49">
        <v>0</v>
      </c>
      <c r="J158" s="56">
        <v>349428</v>
      </c>
      <c r="K158" s="56">
        <v>0</v>
      </c>
      <c r="L158" s="56">
        <v>225000</v>
      </c>
      <c r="M158" s="56">
        <v>3466000</v>
      </c>
      <c r="N158" s="56">
        <v>1530000</v>
      </c>
      <c r="O158" s="56">
        <v>1500428</v>
      </c>
      <c r="P158" s="56">
        <f t="shared" si="11"/>
        <v>6721428</v>
      </c>
      <c r="Q158" s="56">
        <f t="shared" si="9"/>
        <v>0</v>
      </c>
    </row>
    <row r="159" ht="12.9" customHeight="1" spans="1:17">
      <c r="A159" s="46">
        <v>154</v>
      </c>
      <c r="B159" s="45" t="s">
        <v>375</v>
      </c>
      <c r="C159" s="46">
        <v>1360</v>
      </c>
      <c r="D159" s="56">
        <f t="shared" si="10"/>
        <v>4100</v>
      </c>
      <c r="E159" s="45" t="s">
        <v>376</v>
      </c>
      <c r="F159" s="57">
        <v>44377</v>
      </c>
      <c r="G159" s="56">
        <v>5576000</v>
      </c>
      <c r="H159" s="49">
        <v>0</v>
      </c>
      <c r="I159" s="49">
        <v>0</v>
      </c>
      <c r="J159" s="56">
        <v>278800</v>
      </c>
      <c r="K159" s="56">
        <v>0</v>
      </c>
      <c r="L159" s="56">
        <v>0</v>
      </c>
      <c r="M159" s="56">
        <v>754000</v>
      </c>
      <c r="N159" s="56">
        <v>3592000</v>
      </c>
      <c r="O159" s="56">
        <v>1030000</v>
      </c>
      <c r="P159" s="56">
        <f t="shared" si="11"/>
        <v>5376000</v>
      </c>
      <c r="Q159" s="56">
        <f t="shared" si="9"/>
        <v>478800</v>
      </c>
    </row>
    <row r="160" ht="12.9" customHeight="1" spans="1:17">
      <c r="A160" s="46">
        <v>155</v>
      </c>
      <c r="B160" s="45" t="s">
        <v>377</v>
      </c>
      <c r="C160" s="46">
        <v>1360</v>
      </c>
      <c r="D160" s="56">
        <f t="shared" si="10"/>
        <v>4850</v>
      </c>
      <c r="E160" s="45" t="s">
        <v>378</v>
      </c>
      <c r="F160" s="57">
        <v>44704</v>
      </c>
      <c r="G160" s="56">
        <v>6596000</v>
      </c>
      <c r="H160" s="49">
        <v>0</v>
      </c>
      <c r="I160" s="49">
        <v>0</v>
      </c>
      <c r="J160" s="56">
        <v>350494</v>
      </c>
      <c r="K160" s="56">
        <v>0</v>
      </c>
      <c r="L160" s="56">
        <v>0</v>
      </c>
      <c r="M160" s="56">
        <v>0</v>
      </c>
      <c r="N160" s="56">
        <v>5139000</v>
      </c>
      <c r="O160" s="56">
        <v>1807494</v>
      </c>
      <c r="P160" s="56">
        <f t="shared" si="11"/>
        <v>6946494</v>
      </c>
      <c r="Q160" s="56">
        <f t="shared" si="9"/>
        <v>0</v>
      </c>
    </row>
    <row r="161" ht="12.9" customHeight="1" spans="1:17">
      <c r="A161" s="46">
        <v>156</v>
      </c>
      <c r="B161" s="45" t="s">
        <v>379</v>
      </c>
      <c r="C161" s="46">
        <v>1360</v>
      </c>
      <c r="D161" s="56">
        <f t="shared" si="10"/>
        <v>5185.29411764706</v>
      </c>
      <c r="E161" s="45" t="s">
        <v>380</v>
      </c>
      <c r="F161" s="57">
        <v>44500</v>
      </c>
      <c r="G161" s="56">
        <v>7052000</v>
      </c>
      <c r="H161" s="49">
        <v>0</v>
      </c>
      <c r="I161" s="49">
        <v>0</v>
      </c>
      <c r="J161" s="56">
        <v>352600</v>
      </c>
      <c r="K161" s="56">
        <v>0</v>
      </c>
      <c r="L161" s="56">
        <v>0</v>
      </c>
      <c r="M161" s="56">
        <v>4053005</v>
      </c>
      <c r="N161" s="56">
        <v>1671000</v>
      </c>
      <c r="O161" s="56">
        <v>1647426</v>
      </c>
      <c r="P161" s="56">
        <f t="shared" si="11"/>
        <v>7371431</v>
      </c>
      <c r="Q161" s="56">
        <f t="shared" si="9"/>
        <v>33169</v>
      </c>
    </row>
    <row r="162" ht="12.9" customHeight="1" spans="1:17">
      <c r="A162" s="46">
        <v>157</v>
      </c>
      <c r="B162" s="45" t="s">
        <v>381</v>
      </c>
      <c r="C162" s="46">
        <v>1360</v>
      </c>
      <c r="D162" s="56">
        <f t="shared" si="10"/>
        <v>4450</v>
      </c>
      <c r="E162" s="45" t="s">
        <v>382</v>
      </c>
      <c r="F162" s="57">
        <v>44500</v>
      </c>
      <c r="G162" s="56">
        <v>6052000</v>
      </c>
      <c r="H162" s="49">
        <v>0</v>
      </c>
      <c r="I162" s="49">
        <v>0</v>
      </c>
      <c r="J162" s="56">
        <v>313675</v>
      </c>
      <c r="K162" s="56">
        <v>0</v>
      </c>
      <c r="L162" s="56">
        <v>0</v>
      </c>
      <c r="M162" s="56">
        <v>725000</v>
      </c>
      <c r="N162" s="56">
        <v>4013000</v>
      </c>
      <c r="O162" s="56">
        <v>1647428</v>
      </c>
      <c r="P162" s="56">
        <f t="shared" si="11"/>
        <v>6385428</v>
      </c>
      <c r="Q162" s="56">
        <f t="shared" si="9"/>
        <v>-19753</v>
      </c>
    </row>
    <row r="163" ht="12.9" customHeight="1" spans="1:17">
      <c r="A163" s="46">
        <v>158</v>
      </c>
      <c r="B163" s="45" t="s">
        <v>383</v>
      </c>
      <c r="C163" s="46">
        <v>1360</v>
      </c>
      <c r="D163" s="56">
        <f t="shared" si="10"/>
        <v>5772.05882352941</v>
      </c>
      <c r="E163" s="45" t="s">
        <v>384</v>
      </c>
      <c r="F163" s="57">
        <v>44721</v>
      </c>
      <c r="G163" s="56">
        <v>7850000</v>
      </c>
      <c r="H163" s="49">
        <v>0</v>
      </c>
      <c r="I163" s="49">
        <v>0</v>
      </c>
      <c r="J163" s="56">
        <v>392500</v>
      </c>
      <c r="K163" s="56">
        <v>0</v>
      </c>
      <c r="L163" s="56">
        <v>0</v>
      </c>
      <c r="M163" s="56">
        <v>0</v>
      </c>
      <c r="N163" s="67">
        <v>4528000</v>
      </c>
      <c r="O163" s="56">
        <v>3677328</v>
      </c>
      <c r="P163" s="56">
        <f t="shared" si="11"/>
        <v>8205328</v>
      </c>
      <c r="Q163" s="56">
        <f t="shared" si="9"/>
        <v>37172</v>
      </c>
    </row>
    <row r="164" ht="12.9" customHeight="1" spans="1:17">
      <c r="A164" s="46">
        <v>159</v>
      </c>
      <c r="B164" s="45" t="s">
        <v>385</v>
      </c>
      <c r="C164" s="46">
        <v>1360</v>
      </c>
      <c r="D164" s="56">
        <f t="shared" si="10"/>
        <v>5985.29411764706</v>
      </c>
      <c r="E164" s="45" t="s">
        <v>386</v>
      </c>
      <c r="F164" s="57">
        <v>44843</v>
      </c>
      <c r="G164" s="56">
        <v>8140000</v>
      </c>
      <c r="H164" s="49">
        <v>0</v>
      </c>
      <c r="I164" s="49">
        <v>0</v>
      </c>
      <c r="J164" s="56">
        <v>332050</v>
      </c>
      <c r="K164" s="56">
        <v>0</v>
      </c>
      <c r="L164" s="56">
        <v>0</v>
      </c>
      <c r="M164" s="56">
        <v>0</v>
      </c>
      <c r="N164" s="56">
        <v>4693000</v>
      </c>
      <c r="O164" s="56">
        <v>3885000</v>
      </c>
      <c r="P164" s="56">
        <f t="shared" si="11"/>
        <v>8578000</v>
      </c>
      <c r="Q164" s="56">
        <f t="shared" si="9"/>
        <v>-105950</v>
      </c>
    </row>
    <row r="165" ht="12.9" customHeight="1" spans="1:17">
      <c r="A165" s="46">
        <v>160</v>
      </c>
      <c r="B165" s="45" t="s">
        <v>387</v>
      </c>
      <c r="C165" s="46">
        <v>1360</v>
      </c>
      <c r="D165" s="56">
        <f t="shared" si="10"/>
        <v>5672.05882352941</v>
      </c>
      <c r="E165" s="45" t="s">
        <v>388</v>
      </c>
      <c r="F165" s="57">
        <v>44671</v>
      </c>
      <c r="G165" s="56">
        <v>7714000</v>
      </c>
      <c r="H165" s="49">
        <v>0</v>
      </c>
      <c r="I165" s="49">
        <v>0</v>
      </c>
      <c r="J165" s="56">
        <v>385700</v>
      </c>
      <c r="K165" s="56">
        <v>0</v>
      </c>
      <c r="L165" s="56">
        <v>0</v>
      </c>
      <c r="M165" s="56">
        <v>0</v>
      </c>
      <c r="N165" s="56">
        <v>3897764</v>
      </c>
      <c r="O165" s="56">
        <v>4217828</v>
      </c>
      <c r="P165" s="56">
        <f t="shared" si="11"/>
        <v>8115592</v>
      </c>
      <c r="Q165" s="56">
        <f t="shared" si="9"/>
        <v>-15892</v>
      </c>
    </row>
    <row r="166" ht="12.9" customHeight="1" spans="1:17">
      <c r="A166" s="46">
        <v>161</v>
      </c>
      <c r="B166" s="45" t="s">
        <v>389</v>
      </c>
      <c r="C166" s="46">
        <v>1360</v>
      </c>
      <c r="D166" s="56">
        <f t="shared" si="10"/>
        <v>5422.05882352941</v>
      </c>
      <c r="E166" s="45" t="s">
        <v>390</v>
      </c>
      <c r="F166" s="57">
        <v>44640</v>
      </c>
      <c r="G166" s="56">
        <v>7374000</v>
      </c>
      <c r="H166" s="49">
        <v>0</v>
      </c>
      <c r="I166" s="49">
        <v>0</v>
      </c>
      <c r="J166" s="56">
        <v>212700</v>
      </c>
      <c r="K166" s="56">
        <v>0</v>
      </c>
      <c r="L166" s="56">
        <v>0</v>
      </c>
      <c r="M166" s="56">
        <v>25000</v>
      </c>
      <c r="N166" s="56">
        <v>3620000</v>
      </c>
      <c r="O166" s="56">
        <v>1250000</v>
      </c>
      <c r="P166" s="56">
        <f t="shared" si="11"/>
        <v>4895000</v>
      </c>
      <c r="Q166" s="56">
        <f t="shared" si="9"/>
        <v>2691700</v>
      </c>
    </row>
    <row r="167" ht="12.9" customHeight="1" spans="1:17">
      <c r="A167" s="46">
        <v>162</v>
      </c>
      <c r="B167" s="45" t="s">
        <v>391</v>
      </c>
      <c r="C167" s="46">
        <v>1360</v>
      </c>
      <c r="D167" s="56">
        <f t="shared" si="10"/>
        <v>6019.11764705882</v>
      </c>
      <c r="E167" s="45" t="s">
        <v>392</v>
      </c>
      <c r="F167" s="57">
        <v>45214</v>
      </c>
      <c r="G167" s="56">
        <v>8186000</v>
      </c>
      <c r="H167" s="49">
        <v>0</v>
      </c>
      <c r="I167" s="49">
        <v>0</v>
      </c>
      <c r="J167" s="56">
        <v>409300</v>
      </c>
      <c r="K167" s="56"/>
      <c r="L167" s="56"/>
      <c r="M167" s="56"/>
      <c r="N167" s="56"/>
      <c r="O167" s="56">
        <v>6679000</v>
      </c>
      <c r="P167" s="56">
        <f t="shared" si="11"/>
        <v>6679000</v>
      </c>
      <c r="Q167" s="56">
        <f t="shared" si="9"/>
        <v>1916300</v>
      </c>
    </row>
    <row r="168" ht="12.9" customHeight="1" spans="1:17">
      <c r="A168" s="46">
        <v>163</v>
      </c>
      <c r="B168" s="45" t="s">
        <v>393</v>
      </c>
      <c r="C168" s="46">
        <v>1360</v>
      </c>
      <c r="D168" s="56">
        <f t="shared" si="10"/>
        <v>5750.73529411765</v>
      </c>
      <c r="E168" s="45" t="s">
        <v>394</v>
      </c>
      <c r="F168" s="57">
        <v>44741</v>
      </c>
      <c r="G168" s="56">
        <v>7821000</v>
      </c>
      <c r="H168" s="49">
        <v>0</v>
      </c>
      <c r="I168" s="49">
        <v>0</v>
      </c>
      <c r="J168" s="56">
        <v>326800</v>
      </c>
      <c r="K168" s="56">
        <v>0</v>
      </c>
      <c r="L168" s="56">
        <v>0</v>
      </c>
      <c r="M168" s="56">
        <v>0</v>
      </c>
      <c r="N168" s="56">
        <v>4610005</v>
      </c>
      <c r="O168" s="56">
        <v>1926000</v>
      </c>
      <c r="P168" s="56">
        <f t="shared" si="11"/>
        <v>6536005</v>
      </c>
      <c r="Q168" s="56">
        <f t="shared" si="9"/>
        <v>1611795</v>
      </c>
    </row>
    <row r="169" ht="12.9" customHeight="1" spans="1:17">
      <c r="A169" s="46">
        <v>164</v>
      </c>
      <c r="B169" s="45" t="s">
        <v>395</v>
      </c>
      <c r="C169" s="46">
        <v>1360</v>
      </c>
      <c r="D169" s="56">
        <f t="shared" si="10"/>
        <v>4385.29411764706</v>
      </c>
      <c r="E169" s="45" t="s">
        <v>396</v>
      </c>
      <c r="F169" s="57">
        <v>44789</v>
      </c>
      <c r="G169" s="56">
        <v>5964000</v>
      </c>
      <c r="H169" s="49">
        <v>0</v>
      </c>
      <c r="I169" s="49">
        <v>0</v>
      </c>
      <c r="J169" s="56">
        <v>224600</v>
      </c>
      <c r="K169" s="56">
        <v>0</v>
      </c>
      <c r="L169" s="56">
        <v>0</v>
      </c>
      <c r="M169" s="56">
        <v>0</v>
      </c>
      <c r="N169" s="56">
        <v>2592000</v>
      </c>
      <c r="O169" s="56">
        <v>3701028</v>
      </c>
      <c r="P169" s="56">
        <f t="shared" si="11"/>
        <v>6293028</v>
      </c>
      <c r="Q169" s="56">
        <f t="shared" si="9"/>
        <v>-104428</v>
      </c>
    </row>
    <row r="170" ht="12.9" customHeight="1" spans="1:17">
      <c r="A170" s="46">
        <v>165</v>
      </c>
      <c r="B170" s="45" t="s">
        <v>397</v>
      </c>
      <c r="C170" s="46">
        <v>1360</v>
      </c>
      <c r="D170" s="56">
        <f t="shared" si="10"/>
        <v>6011.02941176471</v>
      </c>
      <c r="E170" s="45" t="s">
        <v>398</v>
      </c>
      <c r="F170" s="57">
        <v>45123</v>
      </c>
      <c r="G170" s="56">
        <v>8175000</v>
      </c>
      <c r="H170" s="49">
        <v>0</v>
      </c>
      <c r="I170" s="49">
        <v>0</v>
      </c>
      <c r="J170" s="56">
        <v>245250</v>
      </c>
      <c r="K170" s="56">
        <v>0</v>
      </c>
      <c r="L170" s="56">
        <v>0</v>
      </c>
      <c r="M170" s="56">
        <v>0</v>
      </c>
      <c r="N170" s="56">
        <v>0</v>
      </c>
      <c r="O170" s="56">
        <v>7294600</v>
      </c>
      <c r="P170" s="56">
        <f t="shared" si="11"/>
        <v>7294600</v>
      </c>
      <c r="Q170" s="56">
        <f t="shared" si="9"/>
        <v>1125650</v>
      </c>
    </row>
    <row r="171" ht="12.9" customHeight="1" spans="1:17">
      <c r="A171" s="46">
        <v>166</v>
      </c>
      <c r="B171" s="45" t="s">
        <v>399</v>
      </c>
      <c r="C171" s="46">
        <v>1360</v>
      </c>
      <c r="D171" s="56">
        <f t="shared" si="10"/>
        <v>6055.88235294118</v>
      </c>
      <c r="E171" s="45" t="s">
        <v>400</v>
      </c>
      <c r="F171" s="57">
        <v>45260</v>
      </c>
      <c r="G171" s="56">
        <v>8236000</v>
      </c>
      <c r="H171" s="49">
        <v>0</v>
      </c>
      <c r="I171" s="49">
        <v>0</v>
      </c>
      <c r="J171" s="56"/>
      <c r="K171" s="56"/>
      <c r="L171" s="56"/>
      <c r="M171" s="56"/>
      <c r="N171" s="56"/>
      <c r="O171" s="56">
        <v>7409750</v>
      </c>
      <c r="P171" s="56">
        <f t="shared" si="11"/>
        <v>7409750</v>
      </c>
      <c r="Q171" s="56">
        <f t="shared" si="9"/>
        <v>826250</v>
      </c>
    </row>
    <row r="172" ht="12.9" customHeight="1" spans="1:17">
      <c r="A172" s="46">
        <v>167</v>
      </c>
      <c r="B172" s="45" t="s">
        <v>401</v>
      </c>
      <c r="C172" s="46">
        <v>1360</v>
      </c>
      <c r="D172" s="56">
        <f t="shared" si="10"/>
        <v>5756.61764705882</v>
      </c>
      <c r="E172" s="45" t="s">
        <v>402</v>
      </c>
      <c r="F172" s="57">
        <v>44707</v>
      </c>
      <c r="G172" s="56">
        <v>7829000</v>
      </c>
      <c r="H172" s="49">
        <v>0</v>
      </c>
      <c r="I172" s="49">
        <v>0</v>
      </c>
      <c r="J172" s="56">
        <v>225750</v>
      </c>
      <c r="K172" s="56">
        <v>0</v>
      </c>
      <c r="L172" s="56">
        <v>0</v>
      </c>
      <c r="M172" s="56">
        <v>0</v>
      </c>
      <c r="N172" s="56">
        <v>4535000</v>
      </c>
      <c r="O172" s="56">
        <v>2098514</v>
      </c>
      <c r="P172" s="56">
        <f t="shared" si="11"/>
        <v>6633514</v>
      </c>
      <c r="Q172" s="56">
        <f t="shared" si="9"/>
        <v>1421236</v>
      </c>
    </row>
    <row r="173" ht="12.9" customHeight="1" spans="1:17">
      <c r="A173" s="46">
        <v>168</v>
      </c>
      <c r="B173" s="45" t="s">
        <v>403</v>
      </c>
      <c r="C173" s="46">
        <v>1360</v>
      </c>
      <c r="D173" s="56">
        <f t="shared" si="10"/>
        <v>4952.94117647059</v>
      </c>
      <c r="E173" s="45" t="s">
        <v>404</v>
      </c>
      <c r="F173" s="57">
        <v>44926</v>
      </c>
      <c r="G173" s="56">
        <v>6736000</v>
      </c>
      <c r="H173" s="49">
        <v>0</v>
      </c>
      <c r="I173" s="49">
        <v>0</v>
      </c>
      <c r="J173" s="56">
        <v>162400</v>
      </c>
      <c r="K173" s="56">
        <v>0</v>
      </c>
      <c r="L173" s="56">
        <v>0</v>
      </c>
      <c r="M173" s="56">
        <v>0</v>
      </c>
      <c r="N173" s="56">
        <v>0</v>
      </c>
      <c r="O173" s="56">
        <v>8498708</v>
      </c>
      <c r="P173" s="56">
        <f t="shared" si="11"/>
        <v>8498708</v>
      </c>
      <c r="Q173" s="56">
        <f t="shared" si="9"/>
        <v>-1600308</v>
      </c>
    </row>
    <row r="174" ht="12.9" customHeight="1" spans="1:17">
      <c r="A174" s="46">
        <v>169</v>
      </c>
      <c r="B174" s="45" t="s">
        <v>405</v>
      </c>
      <c r="C174" s="46">
        <v>1360</v>
      </c>
      <c r="D174" s="56">
        <f t="shared" si="10"/>
        <v>5930.88235294118</v>
      </c>
      <c r="E174" s="45" t="s">
        <v>406</v>
      </c>
      <c r="F174" s="57">
        <v>44863</v>
      </c>
      <c r="G174" s="56">
        <v>8066000</v>
      </c>
      <c r="H174" s="49">
        <v>0</v>
      </c>
      <c r="I174" s="49">
        <v>0</v>
      </c>
      <c r="J174" s="56">
        <v>403300</v>
      </c>
      <c r="K174" s="56">
        <v>0</v>
      </c>
      <c r="L174" s="56">
        <v>0</v>
      </c>
      <c r="M174" s="56">
        <v>0</v>
      </c>
      <c r="N174" s="56">
        <v>1075000</v>
      </c>
      <c r="O174" s="56">
        <v>7501400</v>
      </c>
      <c r="P174" s="56">
        <f t="shared" si="11"/>
        <v>8576400</v>
      </c>
      <c r="Q174" s="56">
        <f t="shared" si="9"/>
        <v>-107100</v>
      </c>
    </row>
    <row r="175" ht="12.9" customHeight="1" spans="1:17">
      <c r="A175" s="46">
        <v>170</v>
      </c>
      <c r="B175" s="45" t="s">
        <v>407</v>
      </c>
      <c r="C175" s="46">
        <v>1360</v>
      </c>
      <c r="D175" s="56">
        <f t="shared" si="10"/>
        <v>6005.88235294118</v>
      </c>
      <c r="E175" s="45" t="s">
        <v>408</v>
      </c>
      <c r="F175" s="57">
        <v>45116</v>
      </c>
      <c r="G175" s="56">
        <v>8168000</v>
      </c>
      <c r="H175" s="49">
        <v>0</v>
      </c>
      <c r="I175" s="49">
        <v>0</v>
      </c>
      <c r="J175" s="56">
        <v>408400</v>
      </c>
      <c r="K175" s="56">
        <v>0</v>
      </c>
      <c r="L175" s="56">
        <v>0</v>
      </c>
      <c r="M175" s="56">
        <v>0</v>
      </c>
      <c r="N175" s="56">
        <v>0</v>
      </c>
      <c r="O175" s="56">
        <v>7378000</v>
      </c>
      <c r="P175" s="56">
        <f t="shared" si="11"/>
        <v>7378000</v>
      </c>
      <c r="Q175" s="56">
        <f t="shared" si="9"/>
        <v>1198400</v>
      </c>
    </row>
    <row r="176" ht="12.9" customHeight="1" spans="1:17">
      <c r="A176" s="46">
        <v>171</v>
      </c>
      <c r="B176" s="45" t="s">
        <v>409</v>
      </c>
      <c r="C176" s="46">
        <v>1360</v>
      </c>
      <c r="D176" s="56">
        <f t="shared" si="10"/>
        <v>5441.17647058824</v>
      </c>
      <c r="E176" s="45" t="s">
        <v>410</v>
      </c>
      <c r="F176" s="57">
        <v>44647</v>
      </c>
      <c r="G176" s="56">
        <v>7400000</v>
      </c>
      <c r="H176" s="49">
        <v>0</v>
      </c>
      <c r="I176" s="49">
        <v>0</v>
      </c>
      <c r="J176" s="56">
        <v>370000</v>
      </c>
      <c r="K176" s="56">
        <v>0</v>
      </c>
      <c r="L176" s="56">
        <v>0</v>
      </c>
      <c r="M176" s="56">
        <v>25000</v>
      </c>
      <c r="N176" s="56">
        <v>4445000</v>
      </c>
      <c r="O176" s="56">
        <v>743000</v>
      </c>
      <c r="P176" s="56">
        <f t="shared" si="11"/>
        <v>5213000</v>
      </c>
      <c r="Q176" s="56">
        <f t="shared" si="9"/>
        <v>2557000</v>
      </c>
    </row>
    <row r="177" ht="12.9" customHeight="1" spans="1:17">
      <c r="A177" s="46">
        <v>172</v>
      </c>
      <c r="B177" s="45" t="s">
        <v>411</v>
      </c>
      <c r="C177" s="46">
        <v>1360</v>
      </c>
      <c r="D177" s="56">
        <f t="shared" si="10"/>
        <v>5433.82352941176</v>
      </c>
      <c r="E177" s="45" t="s">
        <v>412</v>
      </c>
      <c r="F177" s="57">
        <v>44626</v>
      </c>
      <c r="G177" s="56">
        <v>7390000</v>
      </c>
      <c r="H177" s="49">
        <v>0</v>
      </c>
      <c r="I177" s="49">
        <v>0</v>
      </c>
      <c r="J177" s="56">
        <v>369500</v>
      </c>
      <c r="K177" s="56">
        <v>0</v>
      </c>
      <c r="L177" s="56">
        <v>0</v>
      </c>
      <c r="M177" s="56">
        <v>1333000</v>
      </c>
      <c r="N177" s="56">
        <v>2930000</v>
      </c>
      <c r="O177" s="56">
        <v>2866000</v>
      </c>
      <c r="P177" s="56">
        <f t="shared" si="11"/>
        <v>7129000</v>
      </c>
      <c r="Q177" s="56">
        <f t="shared" si="9"/>
        <v>630500</v>
      </c>
    </row>
    <row r="178" ht="12.9" customHeight="1" spans="1:17">
      <c r="A178" s="46">
        <v>173</v>
      </c>
      <c r="B178" s="45" t="s">
        <v>413</v>
      </c>
      <c r="C178" s="46">
        <v>1360</v>
      </c>
      <c r="D178" s="56">
        <f t="shared" si="10"/>
        <v>5433.82352941176</v>
      </c>
      <c r="E178" s="45" t="s">
        <v>414</v>
      </c>
      <c r="F178" s="57">
        <v>44634</v>
      </c>
      <c r="G178" s="56">
        <v>7390000</v>
      </c>
      <c r="H178" s="49">
        <v>0</v>
      </c>
      <c r="I178" s="49">
        <v>0</v>
      </c>
      <c r="J178" s="56">
        <v>369500</v>
      </c>
      <c r="K178" s="56">
        <v>0</v>
      </c>
      <c r="L178" s="56">
        <v>0</v>
      </c>
      <c r="M178" s="56">
        <v>225000</v>
      </c>
      <c r="N178" s="56">
        <v>4038000</v>
      </c>
      <c r="O178" s="56">
        <v>3647824</v>
      </c>
      <c r="P178" s="56">
        <f t="shared" si="11"/>
        <v>7910824</v>
      </c>
      <c r="Q178" s="56">
        <f t="shared" si="9"/>
        <v>-151324</v>
      </c>
    </row>
    <row r="179" ht="12.9" customHeight="1" spans="1:17">
      <c r="A179" s="46">
        <v>174</v>
      </c>
      <c r="B179" s="45" t="s">
        <v>415</v>
      </c>
      <c r="C179" s="46">
        <v>1360</v>
      </c>
      <c r="D179" s="56">
        <f t="shared" si="10"/>
        <v>6005.88235294118</v>
      </c>
      <c r="E179" s="45" t="s">
        <v>416</v>
      </c>
      <c r="F179" s="57">
        <v>45018</v>
      </c>
      <c r="G179" s="56">
        <v>8168000</v>
      </c>
      <c r="H179" s="49">
        <v>0</v>
      </c>
      <c r="I179" s="49">
        <v>0</v>
      </c>
      <c r="J179" s="56">
        <v>408400</v>
      </c>
      <c r="K179" s="56">
        <v>0</v>
      </c>
      <c r="L179" s="56">
        <v>0</v>
      </c>
      <c r="M179" s="56">
        <v>0</v>
      </c>
      <c r="N179" s="56">
        <v>0</v>
      </c>
      <c r="O179" s="56">
        <v>8539128</v>
      </c>
      <c r="P179" s="56">
        <f t="shared" si="11"/>
        <v>8539128</v>
      </c>
      <c r="Q179" s="56">
        <f t="shared" si="9"/>
        <v>37272</v>
      </c>
    </row>
    <row r="180" ht="12.9" customHeight="1" spans="1:17">
      <c r="A180" s="46">
        <v>175</v>
      </c>
      <c r="B180" s="45" t="s">
        <v>417</v>
      </c>
      <c r="C180" s="46">
        <v>1360</v>
      </c>
      <c r="D180" s="56">
        <f t="shared" si="10"/>
        <v>6004.41176470588</v>
      </c>
      <c r="E180" s="45" t="s">
        <v>418</v>
      </c>
      <c r="F180" s="57">
        <v>45096</v>
      </c>
      <c r="G180" s="56">
        <v>8166000</v>
      </c>
      <c r="H180" s="49">
        <v>0</v>
      </c>
      <c r="I180" s="49">
        <v>0</v>
      </c>
      <c r="J180" s="56">
        <v>408300</v>
      </c>
      <c r="K180" s="56">
        <v>0</v>
      </c>
      <c r="L180" s="56">
        <v>0</v>
      </c>
      <c r="M180" s="56">
        <v>0</v>
      </c>
      <c r="N180" s="56">
        <v>0</v>
      </c>
      <c r="O180" s="56">
        <v>225000</v>
      </c>
      <c r="P180" s="56">
        <f t="shared" si="11"/>
        <v>225000</v>
      </c>
      <c r="Q180" s="56">
        <f t="shared" si="9"/>
        <v>8349300</v>
      </c>
    </row>
    <row r="181" ht="12.9" customHeight="1" spans="1:17">
      <c r="A181" s="46">
        <v>176</v>
      </c>
      <c r="B181" s="45" t="s">
        <v>419</v>
      </c>
      <c r="C181" s="46">
        <v>1360</v>
      </c>
      <c r="D181" s="56">
        <f t="shared" si="10"/>
        <v>5422.05882352941</v>
      </c>
      <c r="E181" s="45" t="s">
        <v>420</v>
      </c>
      <c r="F181" s="57">
        <v>44626</v>
      </c>
      <c r="G181" s="56">
        <v>7374000</v>
      </c>
      <c r="H181" s="49">
        <v>0</v>
      </c>
      <c r="I181" s="49">
        <v>0</v>
      </c>
      <c r="J181" s="56">
        <v>368700</v>
      </c>
      <c r="K181" s="56">
        <v>0</v>
      </c>
      <c r="L181" s="56">
        <v>0</v>
      </c>
      <c r="M181" s="56">
        <v>25000</v>
      </c>
      <c r="N181" s="56">
        <v>1300000</v>
      </c>
      <c r="O181" s="56">
        <v>4620000</v>
      </c>
      <c r="P181" s="56">
        <f>SUM(K181:O181)</f>
        <v>5945000</v>
      </c>
      <c r="Q181" s="56">
        <f t="shared" si="9"/>
        <v>1797700</v>
      </c>
    </row>
    <row r="182" ht="12.9" customHeight="1" spans="1:17">
      <c r="A182" s="46">
        <v>177</v>
      </c>
      <c r="D182" s="56"/>
      <c r="E182" s="45"/>
      <c r="F182" s="57"/>
      <c r="G182" s="56"/>
      <c r="H182" s="49"/>
      <c r="I182" s="49"/>
      <c r="J182" s="49"/>
      <c r="K182" s="56"/>
      <c r="L182" s="56"/>
      <c r="M182" s="56"/>
      <c r="N182" s="56"/>
      <c r="O182" s="56"/>
      <c r="P182" s="56">
        <f>SUM(H182:L182)</f>
        <v>0</v>
      </c>
      <c r="Q182" s="56"/>
    </row>
    <row r="183" ht="12.9" customHeight="1" spans="1:17">
      <c r="A183" s="46">
        <v>178</v>
      </c>
      <c r="D183" s="56"/>
      <c r="E183" s="45"/>
      <c r="F183" s="57"/>
      <c r="G183" s="56"/>
      <c r="H183" s="49"/>
      <c r="I183" s="49"/>
      <c r="J183" s="49"/>
      <c r="K183" s="56"/>
      <c r="L183" s="56"/>
      <c r="M183" s="56"/>
      <c r="N183" s="56"/>
      <c r="O183" s="56"/>
      <c r="P183" s="56">
        <f>SUM(H183:L183)</f>
        <v>0</v>
      </c>
      <c r="Q183" s="56"/>
    </row>
    <row r="184" ht="12.9" customHeight="1" spans="1:17">
      <c r="A184" s="60"/>
      <c r="B184" s="61" t="s">
        <v>421</v>
      </c>
      <c r="C184" s="62">
        <f>SUM(C6:C183)</f>
        <v>265760</v>
      </c>
      <c r="D184" s="63">
        <f>G184/C184</f>
        <v>4640.60054184226</v>
      </c>
      <c r="E184" s="60"/>
      <c r="F184" s="64"/>
      <c r="G184" s="65">
        <f>SUM(G6:G183)</f>
        <v>1233286000</v>
      </c>
      <c r="H184" s="65">
        <f t="shared" ref="H184:Q184" si="12">SUM(H6:H183)</f>
        <v>0</v>
      </c>
      <c r="I184" s="65">
        <f t="shared" si="12"/>
        <v>0</v>
      </c>
      <c r="J184" s="65">
        <f t="shared" si="12"/>
        <v>62717631</v>
      </c>
      <c r="K184" s="65">
        <f t="shared" si="12"/>
        <v>66948917</v>
      </c>
      <c r="L184" s="65">
        <f t="shared" si="12"/>
        <v>151356658</v>
      </c>
      <c r="M184" s="63">
        <f t="shared" si="12"/>
        <v>370877702.8</v>
      </c>
      <c r="N184" s="63">
        <f t="shared" si="12"/>
        <v>301888446</v>
      </c>
      <c r="O184" s="63">
        <f t="shared" si="12"/>
        <v>301241797.56</v>
      </c>
      <c r="P184" s="63">
        <f t="shared" si="12"/>
        <v>1192313521.36</v>
      </c>
      <c r="Q184" s="65">
        <f t="shared" si="12"/>
        <v>78937109.64</v>
      </c>
    </row>
    <row r="185" spans="15:15">
      <c r="O185" s="68"/>
    </row>
    <row r="186" spans="14:16">
      <c r="N186" s="69"/>
      <c r="O186" s="69"/>
      <c r="P186" s="66"/>
    </row>
    <row r="187" spans="7:7">
      <c r="G187" s="66"/>
    </row>
    <row r="189" spans="16:16">
      <c r="P189" s="69"/>
    </row>
  </sheetData>
  <printOptions gridLines="1"/>
  <pageMargins left="0.393055555555556" right="0.295138888888889" top="0.491666666666667" bottom="0.393055555555556" header="0.298611111111111" footer="0.118055555555556"/>
  <pageSetup paperSize="9" scale="80" orientation="landscape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L83"/>
  <sheetViews>
    <sheetView tabSelected="1" topLeftCell="A61" workbookViewId="0">
      <selection activeCell="D79" sqref="D79"/>
    </sheetView>
  </sheetViews>
  <sheetFormatPr defaultColWidth="9.1047619047619" defaultRowHeight="15"/>
  <cols>
    <col min="2" max="2" width="9" customWidth="1"/>
    <col min="3" max="3" width="27.4380952380952" customWidth="1"/>
    <col min="4" max="4" width="14.6666666666667" customWidth="1"/>
    <col min="7" max="7" width="23" customWidth="1"/>
    <col min="8" max="8" width="15.6666666666667" customWidth="1"/>
    <col min="9" max="9" width="23" customWidth="1"/>
  </cols>
  <sheetData>
    <row r="5" spans="3:7">
      <c r="C5" s="23" t="s">
        <v>422</v>
      </c>
      <c r="G5" s="23" t="s">
        <v>423</v>
      </c>
    </row>
    <row r="7" spans="2:8">
      <c r="B7" s="24" t="s">
        <v>424</v>
      </c>
      <c r="C7" s="24"/>
      <c r="G7" s="25" t="s">
        <v>424</v>
      </c>
      <c r="H7" s="25"/>
    </row>
    <row r="8" spans="2:12">
      <c r="B8" s="26" t="s">
        <v>425</v>
      </c>
      <c r="C8" s="26" t="s">
        <v>426</v>
      </c>
      <c r="D8" s="27">
        <v>9801298</v>
      </c>
      <c r="F8" s="28" t="s">
        <v>427</v>
      </c>
      <c r="G8" s="28" t="s">
        <v>428</v>
      </c>
      <c r="H8" s="28">
        <v>11488.2</v>
      </c>
      <c r="K8" s="31"/>
      <c r="L8" s="31"/>
    </row>
    <row r="9" spans="2:12">
      <c r="B9" s="26" t="s">
        <v>429</v>
      </c>
      <c r="C9" s="29" t="s">
        <v>430</v>
      </c>
      <c r="D9" s="27">
        <v>171650</v>
      </c>
      <c r="F9" s="28"/>
      <c r="G9" s="30" t="s">
        <v>431</v>
      </c>
      <c r="H9" s="30">
        <v>11488.2</v>
      </c>
      <c r="K9" s="31"/>
      <c r="L9" s="31"/>
    </row>
    <row r="10" spans="2:12">
      <c r="B10" s="26" t="s">
        <v>427</v>
      </c>
      <c r="C10" s="29" t="s">
        <v>432</v>
      </c>
      <c r="D10" s="27">
        <v>50000</v>
      </c>
      <c r="F10" s="31"/>
      <c r="G10" s="31"/>
      <c r="H10" s="31"/>
      <c r="K10" s="31"/>
      <c r="L10" s="31"/>
    </row>
    <row r="11" spans="2:12">
      <c r="B11" s="26" t="s">
        <v>433</v>
      </c>
      <c r="C11" s="26" t="s">
        <v>434</v>
      </c>
      <c r="D11" s="27">
        <v>11488</v>
      </c>
      <c r="F11" s="31"/>
      <c r="G11" s="31"/>
      <c r="H11" s="31"/>
      <c r="K11" s="31"/>
      <c r="L11" s="31"/>
    </row>
    <row r="12" spans="2:12">
      <c r="B12" s="26"/>
      <c r="C12" s="32" t="s">
        <v>19</v>
      </c>
      <c r="D12" s="33">
        <f>D8-D9-D10-D11</f>
        <v>9568160</v>
      </c>
      <c r="F12" s="31"/>
      <c r="G12" s="31"/>
      <c r="H12" s="31"/>
      <c r="K12" s="31"/>
      <c r="L12" s="31"/>
    </row>
    <row r="13" spans="6:12">
      <c r="F13" s="31"/>
      <c r="G13" s="31"/>
      <c r="H13" s="31"/>
      <c r="K13" s="31"/>
      <c r="L13" s="31"/>
    </row>
    <row r="14" spans="2:12">
      <c r="B14" s="24" t="s">
        <v>435</v>
      </c>
      <c r="C14" s="24"/>
      <c r="F14" s="31"/>
      <c r="G14" s="34" t="s">
        <v>435</v>
      </c>
      <c r="H14" s="34"/>
      <c r="K14" s="31"/>
      <c r="L14" s="31"/>
    </row>
    <row r="15" spans="2:12">
      <c r="B15" s="26" t="s">
        <v>425</v>
      </c>
      <c r="C15" s="26" t="s">
        <v>436</v>
      </c>
      <c r="D15" s="27">
        <v>9568159.74</v>
      </c>
      <c r="F15" s="28" t="s">
        <v>427</v>
      </c>
      <c r="G15" s="28" t="s">
        <v>428</v>
      </c>
      <c r="H15" s="28">
        <v>11488.2</v>
      </c>
      <c r="K15" s="31"/>
      <c r="L15" s="31"/>
    </row>
    <row r="16" spans="2:12">
      <c r="B16" s="26" t="s">
        <v>425</v>
      </c>
      <c r="C16" s="26" t="s">
        <v>426</v>
      </c>
      <c r="D16" s="27">
        <v>10275124</v>
      </c>
      <c r="F16" s="28" t="s">
        <v>427</v>
      </c>
      <c r="G16" s="28" t="s">
        <v>437</v>
      </c>
      <c r="H16" s="28">
        <v>262009.94</v>
      </c>
      <c r="K16" s="31"/>
      <c r="L16" s="31"/>
    </row>
    <row r="17" spans="2:12">
      <c r="B17" s="26" t="s">
        <v>427</v>
      </c>
      <c r="C17" s="26" t="s">
        <v>438</v>
      </c>
      <c r="D17" s="27">
        <v>50000</v>
      </c>
      <c r="F17" s="28"/>
      <c r="G17" s="28" t="s">
        <v>439</v>
      </c>
      <c r="H17" s="28">
        <f>SUM(H15:H16)</f>
        <v>273498.14</v>
      </c>
      <c r="K17" s="31"/>
      <c r="L17" s="31"/>
    </row>
    <row r="18" spans="2:12">
      <c r="B18" s="26" t="s">
        <v>429</v>
      </c>
      <c r="C18" s="26" t="s">
        <v>434</v>
      </c>
      <c r="D18" s="27">
        <v>262009</v>
      </c>
      <c r="F18" s="31"/>
      <c r="G18" s="31"/>
      <c r="H18" s="31"/>
      <c r="K18" s="31"/>
      <c r="L18" s="31"/>
    </row>
    <row r="19" spans="2:12">
      <c r="B19" s="26"/>
      <c r="C19" s="32" t="s">
        <v>19</v>
      </c>
      <c r="D19" s="35">
        <f>D15+D16-D17-D18</f>
        <v>19531274.74</v>
      </c>
      <c r="F19" s="31"/>
      <c r="G19" s="31"/>
      <c r="H19" s="31"/>
      <c r="K19" s="31"/>
      <c r="L19" s="31"/>
    </row>
    <row r="20" spans="6:12">
      <c r="F20" s="31"/>
      <c r="G20" s="31"/>
      <c r="H20" s="31"/>
      <c r="K20" s="31"/>
      <c r="L20" s="31"/>
    </row>
    <row r="21" spans="6:12">
      <c r="F21" s="31"/>
      <c r="G21" s="31"/>
      <c r="H21" s="31"/>
      <c r="K21" s="31"/>
      <c r="L21" s="31"/>
    </row>
    <row r="22" spans="2:12">
      <c r="B22" s="24" t="s">
        <v>440</v>
      </c>
      <c r="C22" s="24"/>
      <c r="F22" s="31"/>
      <c r="G22" s="36" t="s">
        <v>440</v>
      </c>
      <c r="H22" s="36"/>
      <c r="K22" s="31"/>
      <c r="L22" s="31"/>
    </row>
    <row r="23" spans="2:12">
      <c r="B23" s="26" t="s">
        <v>425</v>
      </c>
      <c r="C23" s="26" t="s">
        <v>436</v>
      </c>
      <c r="D23" s="27">
        <f>19531274.74+182605</f>
        <v>19713879.74</v>
      </c>
      <c r="F23" s="28" t="s">
        <v>427</v>
      </c>
      <c r="G23" s="28" t="s">
        <v>441</v>
      </c>
      <c r="H23" s="28">
        <f>273498.14+7363.86</f>
        <v>280862</v>
      </c>
      <c r="K23" s="31"/>
      <c r="L23" s="31"/>
    </row>
    <row r="24" spans="2:12">
      <c r="B24" s="26" t="s">
        <v>425</v>
      </c>
      <c r="C24" s="26" t="s">
        <v>426</v>
      </c>
      <c r="D24" s="27">
        <v>14821502</v>
      </c>
      <c r="F24" s="28" t="s">
        <v>442</v>
      </c>
      <c r="G24" s="28" t="s">
        <v>443</v>
      </c>
      <c r="H24" s="37">
        <v>18651502</v>
      </c>
      <c r="K24" s="31"/>
      <c r="L24" s="31"/>
    </row>
    <row r="25" spans="2:12">
      <c r="B25" s="26" t="s">
        <v>427</v>
      </c>
      <c r="C25" s="26" t="s">
        <v>444</v>
      </c>
      <c r="D25" s="27">
        <v>25570000</v>
      </c>
      <c r="F25" s="28" t="s">
        <v>427</v>
      </c>
      <c r="G25" s="28" t="s">
        <v>445</v>
      </c>
      <c r="H25" s="37">
        <v>9225000</v>
      </c>
      <c r="K25" s="31"/>
      <c r="L25" s="31"/>
    </row>
    <row r="26" spans="2:12">
      <c r="B26" s="26" t="s">
        <v>427</v>
      </c>
      <c r="C26" s="26" t="s">
        <v>446</v>
      </c>
      <c r="D26" s="27">
        <v>3225429</v>
      </c>
      <c r="F26" s="28" t="s">
        <v>427</v>
      </c>
      <c r="G26" s="28" t="s">
        <v>447</v>
      </c>
      <c r="H26" s="28">
        <v>3225429</v>
      </c>
      <c r="K26" s="31"/>
      <c r="L26" s="31"/>
    </row>
    <row r="27" spans="2:12">
      <c r="B27" s="26"/>
      <c r="C27" s="32" t="s">
        <v>19</v>
      </c>
      <c r="D27" s="33">
        <f>D23+D24-D25-D26</f>
        <v>5739952.73999999</v>
      </c>
      <c r="F27" s="28"/>
      <c r="G27" s="28" t="s">
        <v>448</v>
      </c>
      <c r="H27" s="38">
        <f>-H23+H24-H25-H26</f>
        <v>5920211</v>
      </c>
      <c r="K27" s="31"/>
      <c r="L27" s="31"/>
    </row>
    <row r="28" spans="6:12">
      <c r="F28" s="31"/>
      <c r="G28" s="31"/>
      <c r="H28" s="31"/>
      <c r="K28" s="31"/>
      <c r="L28" s="31"/>
    </row>
    <row r="29" spans="2:12">
      <c r="B29" s="24" t="s">
        <v>449</v>
      </c>
      <c r="C29" s="24"/>
      <c r="F29" s="31"/>
      <c r="G29" s="36" t="s">
        <v>449</v>
      </c>
      <c r="H29" s="36"/>
      <c r="K29" s="31"/>
      <c r="L29" s="31"/>
    </row>
    <row r="30" spans="2:12">
      <c r="B30" s="26" t="s">
        <v>425</v>
      </c>
      <c r="C30" s="26" t="s">
        <v>436</v>
      </c>
      <c r="D30" s="28">
        <v>5739952.38</v>
      </c>
      <c r="F30" s="28" t="s">
        <v>442</v>
      </c>
      <c r="G30" s="28" t="s">
        <v>436</v>
      </c>
      <c r="H30" s="28">
        <v>5920211</v>
      </c>
      <c r="K30" s="31"/>
      <c r="L30" s="31"/>
    </row>
    <row r="31" spans="2:12">
      <c r="B31" s="26" t="s">
        <v>425</v>
      </c>
      <c r="C31" s="26" t="s">
        <v>426</v>
      </c>
      <c r="D31" s="28">
        <v>7379731</v>
      </c>
      <c r="F31" s="28" t="s">
        <v>442</v>
      </c>
      <c r="G31" s="28" t="s">
        <v>426</v>
      </c>
      <c r="H31" s="28">
        <v>4204731</v>
      </c>
      <c r="K31" s="31"/>
      <c r="L31" s="31"/>
    </row>
    <row r="32" spans="2:12">
      <c r="B32" s="26" t="s">
        <v>427</v>
      </c>
      <c r="C32" s="39" t="s">
        <v>450</v>
      </c>
      <c r="D32" s="28">
        <v>11688654</v>
      </c>
      <c r="F32" s="28" t="s">
        <v>427</v>
      </c>
      <c r="G32" s="28" t="s">
        <v>451</v>
      </c>
      <c r="H32" s="28">
        <v>4937524</v>
      </c>
      <c r="K32" s="31"/>
      <c r="L32" s="31"/>
    </row>
    <row r="33" spans="2:12">
      <c r="B33" s="26" t="s">
        <v>427</v>
      </c>
      <c r="C33" s="26" t="s">
        <v>452</v>
      </c>
      <c r="D33" s="28">
        <v>2919343</v>
      </c>
      <c r="F33" s="28" t="s">
        <v>427</v>
      </c>
      <c r="G33" s="28" t="s">
        <v>447</v>
      </c>
      <c r="H33" s="28">
        <v>2919343</v>
      </c>
      <c r="K33" s="31"/>
      <c r="L33" s="31"/>
    </row>
    <row r="34" spans="2:12">
      <c r="B34" s="26"/>
      <c r="C34" s="32" t="s">
        <v>19</v>
      </c>
      <c r="D34" s="40">
        <f>D30+D31-D32-D33</f>
        <v>-1488313.62</v>
      </c>
      <c r="F34" s="28"/>
      <c r="G34" s="30" t="s">
        <v>19</v>
      </c>
      <c r="H34" s="28">
        <f>H30+H31-H32-H33</f>
        <v>2268075</v>
      </c>
      <c r="K34" s="31"/>
      <c r="L34" s="31"/>
    </row>
    <row r="35" spans="6:12">
      <c r="F35" s="31"/>
      <c r="G35" s="31"/>
      <c r="H35" s="31"/>
      <c r="K35" s="31"/>
      <c r="L35" s="31"/>
    </row>
    <row r="36" spans="2:12">
      <c r="B36" s="24" t="s">
        <v>453</v>
      </c>
      <c r="C36" s="24"/>
      <c r="G36" s="34" t="s">
        <v>453</v>
      </c>
      <c r="H36" s="31"/>
      <c r="K36" s="31"/>
      <c r="L36" s="31"/>
    </row>
    <row r="37" spans="2:12">
      <c r="B37" s="26" t="s">
        <v>427</v>
      </c>
      <c r="C37" s="26" t="s">
        <v>436</v>
      </c>
      <c r="D37" s="28">
        <v>-1488313</v>
      </c>
      <c r="F37" s="28" t="s">
        <v>442</v>
      </c>
      <c r="G37" s="28" t="s">
        <v>436</v>
      </c>
      <c r="H37" s="28">
        <v>2268075</v>
      </c>
      <c r="K37" s="31"/>
      <c r="L37" s="31"/>
    </row>
    <row r="38" spans="2:12">
      <c r="B38" s="26" t="s">
        <v>425</v>
      </c>
      <c r="C38" s="26" t="s">
        <v>426</v>
      </c>
      <c r="D38" s="28">
        <v>38000000</v>
      </c>
      <c r="F38" s="28" t="s">
        <v>442</v>
      </c>
      <c r="G38" s="28" t="s">
        <v>426</v>
      </c>
      <c r="H38" s="28">
        <v>11000000</v>
      </c>
      <c r="K38" s="31"/>
      <c r="L38" s="31"/>
    </row>
    <row r="39" spans="2:12">
      <c r="B39" s="26" t="s">
        <v>427</v>
      </c>
      <c r="C39" s="26" t="s">
        <v>444</v>
      </c>
      <c r="D39" s="28">
        <v>21218356</v>
      </c>
      <c r="F39" s="28" t="s">
        <v>427</v>
      </c>
      <c r="G39" s="28" t="s">
        <v>451</v>
      </c>
      <c r="H39" s="28">
        <v>22795806</v>
      </c>
      <c r="K39" s="31"/>
      <c r="L39" s="31"/>
    </row>
    <row r="40" spans="2:12">
      <c r="B40" s="26" t="s">
        <v>425</v>
      </c>
      <c r="C40" s="26" t="s">
        <v>454</v>
      </c>
      <c r="D40" s="28">
        <v>24313311</v>
      </c>
      <c r="F40" s="28" t="s">
        <v>442</v>
      </c>
      <c r="G40" s="28" t="s">
        <v>455</v>
      </c>
      <c r="H40" s="28">
        <v>24313310.19</v>
      </c>
      <c r="K40" s="31"/>
      <c r="L40" s="31"/>
    </row>
    <row r="41" spans="2:12">
      <c r="B41" s="26"/>
      <c r="C41" s="32" t="s">
        <v>19</v>
      </c>
      <c r="D41" s="30">
        <f>D38+D37-D39+D40</f>
        <v>39606642</v>
      </c>
      <c r="F41" s="28"/>
      <c r="G41" s="30" t="s">
        <v>19</v>
      </c>
      <c r="H41" s="30">
        <f>H37+H38-H39+H40</f>
        <v>14785579.19</v>
      </c>
      <c r="K41" s="31"/>
      <c r="L41" s="31"/>
    </row>
    <row r="42" spans="11:12">
      <c r="K42" s="31"/>
      <c r="L42" s="31"/>
    </row>
    <row r="43" spans="6:12">
      <c r="F43" s="31"/>
      <c r="G43" s="31"/>
      <c r="H43" s="31"/>
      <c r="K43" s="31"/>
      <c r="L43" s="31"/>
    </row>
    <row r="44" spans="2:12">
      <c r="B44" s="24" t="s">
        <v>456</v>
      </c>
      <c r="C44" s="24"/>
      <c r="F44" s="31"/>
      <c r="G44" s="41" t="s">
        <v>456</v>
      </c>
      <c r="H44" s="41"/>
      <c r="K44" s="31"/>
      <c r="L44" s="31"/>
    </row>
    <row r="45" spans="2:12">
      <c r="B45" s="26" t="s">
        <v>425</v>
      </c>
      <c r="C45" s="26" t="s">
        <v>436</v>
      </c>
      <c r="D45" s="30">
        <f>D41</f>
        <v>39606642</v>
      </c>
      <c r="F45" s="28" t="s">
        <v>442</v>
      </c>
      <c r="G45" s="28" t="s">
        <v>436</v>
      </c>
      <c r="H45" s="30">
        <f>H41</f>
        <v>14785579.19</v>
      </c>
      <c r="J45" s="31"/>
      <c r="K45" s="31"/>
      <c r="L45" s="31"/>
    </row>
    <row r="46" spans="2:12">
      <c r="B46" s="28" t="s">
        <v>429</v>
      </c>
      <c r="C46" s="28" t="s">
        <v>457</v>
      </c>
      <c r="D46" s="28">
        <v>150000</v>
      </c>
      <c r="F46" s="28" t="s">
        <v>429</v>
      </c>
      <c r="G46" s="28" t="s">
        <v>457</v>
      </c>
      <c r="H46" s="28">
        <v>150000</v>
      </c>
      <c r="K46" s="31"/>
      <c r="L46" s="31"/>
    </row>
    <row r="47" spans="2:12">
      <c r="B47" s="28" t="s">
        <v>427</v>
      </c>
      <c r="C47" s="28" t="s">
        <v>458</v>
      </c>
      <c r="D47" s="28">
        <v>4650000</v>
      </c>
      <c r="F47" s="28" t="s">
        <v>442</v>
      </c>
      <c r="G47" s="28" t="s">
        <v>459</v>
      </c>
      <c r="H47" s="28">
        <v>4500000</v>
      </c>
      <c r="K47" s="31"/>
      <c r="L47" s="31"/>
    </row>
    <row r="48" spans="2:12">
      <c r="B48" s="26" t="s">
        <v>427</v>
      </c>
      <c r="C48" s="28" t="s">
        <v>460</v>
      </c>
      <c r="D48" s="28">
        <v>150000</v>
      </c>
      <c r="F48" s="28" t="s">
        <v>427</v>
      </c>
      <c r="G48" s="28" t="s">
        <v>461</v>
      </c>
      <c r="H48" s="28">
        <v>150000</v>
      </c>
      <c r="K48" s="31"/>
      <c r="L48" s="31"/>
    </row>
    <row r="49" spans="2:8">
      <c r="B49" s="26" t="s">
        <v>427</v>
      </c>
      <c r="C49" s="28" t="s">
        <v>462</v>
      </c>
      <c r="D49" s="28">
        <v>2425000</v>
      </c>
      <c r="F49" s="26" t="s">
        <v>427</v>
      </c>
      <c r="G49" s="28" t="s">
        <v>460</v>
      </c>
      <c r="H49" s="28">
        <v>150000</v>
      </c>
    </row>
    <row r="50" spans="2:8">
      <c r="B50" s="26" t="s">
        <v>427</v>
      </c>
      <c r="C50" s="28" t="s">
        <v>463</v>
      </c>
      <c r="D50" s="28">
        <v>6685000</v>
      </c>
      <c r="F50" s="26" t="s">
        <v>427</v>
      </c>
      <c r="G50" s="28" t="s">
        <v>462</v>
      </c>
      <c r="H50" s="28">
        <v>150000</v>
      </c>
    </row>
    <row r="51" spans="2:8">
      <c r="B51" s="26" t="s">
        <v>427</v>
      </c>
      <c r="C51" s="28" t="s">
        <v>464</v>
      </c>
      <c r="D51" s="28">
        <v>6425000</v>
      </c>
      <c r="F51" s="26" t="s">
        <v>427</v>
      </c>
      <c r="G51" s="28" t="s">
        <v>463</v>
      </c>
      <c r="H51" s="28">
        <v>150000</v>
      </c>
    </row>
    <row r="52" spans="2:8">
      <c r="B52" s="26" t="s">
        <v>427</v>
      </c>
      <c r="C52" s="28" t="s">
        <v>465</v>
      </c>
      <c r="D52" s="28">
        <v>5400100</v>
      </c>
      <c r="F52" s="26" t="s">
        <v>427</v>
      </c>
      <c r="G52" s="28" t="s">
        <v>464</v>
      </c>
      <c r="H52" s="28">
        <v>150000</v>
      </c>
    </row>
    <row r="53" spans="2:8">
      <c r="B53" s="26" t="s">
        <v>427</v>
      </c>
      <c r="C53" s="28" t="s">
        <v>466</v>
      </c>
      <c r="D53" s="28">
        <v>6150000</v>
      </c>
      <c r="F53" s="26" t="s">
        <v>427</v>
      </c>
      <c r="G53" s="28" t="s">
        <v>465</v>
      </c>
      <c r="H53" s="28">
        <v>850000</v>
      </c>
    </row>
    <row r="54" spans="2:8">
      <c r="B54" s="26" t="s">
        <v>425</v>
      </c>
      <c r="C54" s="26" t="s">
        <v>467</v>
      </c>
      <c r="D54" s="28">
        <v>5000000</v>
      </c>
      <c r="F54" s="26" t="s">
        <v>427</v>
      </c>
      <c r="G54" s="28" t="s">
        <v>466</v>
      </c>
      <c r="H54" s="28">
        <v>150000</v>
      </c>
    </row>
    <row r="55" spans="2:8">
      <c r="B55" s="26" t="s">
        <v>427</v>
      </c>
      <c r="C55" s="28" t="s">
        <v>466</v>
      </c>
      <c r="D55" s="28">
        <v>3325152</v>
      </c>
      <c r="F55" s="26" t="s">
        <v>427</v>
      </c>
      <c r="G55" s="28" t="s">
        <v>468</v>
      </c>
      <c r="H55" s="28">
        <v>150000</v>
      </c>
    </row>
    <row r="56" spans="2:8">
      <c r="B56" s="26" t="s">
        <v>427</v>
      </c>
      <c r="C56" s="28" t="s">
        <v>469</v>
      </c>
      <c r="D56" s="28">
        <v>2875000</v>
      </c>
      <c r="F56" s="26" t="s">
        <v>427</v>
      </c>
      <c r="G56" s="28" t="s">
        <v>469</v>
      </c>
      <c r="H56" s="28">
        <v>150000</v>
      </c>
    </row>
    <row r="57" spans="2:8">
      <c r="B57" s="26" t="s">
        <v>425</v>
      </c>
      <c r="C57" s="26" t="s">
        <v>470</v>
      </c>
      <c r="D57" s="28">
        <v>250000</v>
      </c>
      <c r="F57" s="26" t="s">
        <v>427</v>
      </c>
      <c r="G57" s="28" t="s">
        <v>471</v>
      </c>
      <c r="H57" s="28">
        <v>150000</v>
      </c>
    </row>
    <row r="58" spans="2:8">
      <c r="B58" s="26" t="s">
        <v>427</v>
      </c>
      <c r="C58" s="28" t="s">
        <v>471</v>
      </c>
      <c r="D58" s="28">
        <v>3225000</v>
      </c>
      <c r="F58" s="26" t="s">
        <v>427</v>
      </c>
      <c r="G58" s="28" t="s">
        <v>472</v>
      </c>
      <c r="H58" s="28">
        <v>5849228</v>
      </c>
    </row>
    <row r="59" spans="2:8">
      <c r="B59" s="26" t="s">
        <v>427</v>
      </c>
      <c r="C59" s="28" t="s">
        <v>472</v>
      </c>
      <c r="D59" s="28">
        <v>8759228.01</v>
      </c>
      <c r="F59" s="26" t="s">
        <v>442</v>
      </c>
      <c r="G59" s="26" t="s">
        <v>473</v>
      </c>
      <c r="H59" s="28">
        <v>16619344.81</v>
      </c>
    </row>
    <row r="60" spans="2:8">
      <c r="B60" s="26" t="s">
        <v>425</v>
      </c>
      <c r="C60" s="26" t="s">
        <v>473</v>
      </c>
      <c r="D60" s="28">
        <v>16619344.81</v>
      </c>
      <c r="F60" s="26"/>
      <c r="G60" s="32" t="s">
        <v>19</v>
      </c>
      <c r="H60" s="28">
        <f>H45-H46+H47-H48-H49-H50-H51-H52-H53-H54-H55-H56-H57-H58+H59</f>
        <v>27705696</v>
      </c>
    </row>
    <row r="61" spans="2:4">
      <c r="B61" s="26"/>
      <c r="C61" s="32" t="s">
        <v>19</v>
      </c>
      <c r="D61" s="30">
        <f>D45-D46-D47-D48-D49-D50-D51-D52-D53+D54-D55-D56+D57-D58-D59+D60</f>
        <v>11256506.8</v>
      </c>
    </row>
    <row r="64" spans="2:8">
      <c r="B64" s="24" t="s">
        <v>474</v>
      </c>
      <c r="C64" s="24"/>
      <c r="F64" s="31"/>
      <c r="G64" s="41" t="s">
        <v>474</v>
      </c>
      <c r="H64" s="41"/>
    </row>
    <row r="65" spans="2:8">
      <c r="B65" s="28" t="s">
        <v>442</v>
      </c>
      <c r="C65" s="28" t="s">
        <v>436</v>
      </c>
      <c r="D65" s="42">
        <v>11256506.5</v>
      </c>
      <c r="F65" s="28" t="s">
        <v>442</v>
      </c>
      <c r="G65" s="28" t="s">
        <v>436</v>
      </c>
      <c r="H65" s="42">
        <v>27705696</v>
      </c>
    </row>
    <row r="66" spans="2:8">
      <c r="B66" s="26" t="s">
        <v>427</v>
      </c>
      <c r="C66" s="28" t="s">
        <v>457</v>
      </c>
      <c r="D66" s="42">
        <v>2340000</v>
      </c>
      <c r="F66" s="26" t="s">
        <v>427</v>
      </c>
      <c r="G66" s="28" t="s">
        <v>457</v>
      </c>
      <c r="H66" s="42">
        <v>7650000</v>
      </c>
    </row>
    <row r="67" spans="2:8">
      <c r="B67" s="26" t="s">
        <v>427</v>
      </c>
      <c r="C67" s="28" t="s">
        <v>458</v>
      </c>
      <c r="D67" s="42">
        <v>1280000</v>
      </c>
      <c r="F67" s="26" t="s">
        <v>427</v>
      </c>
      <c r="G67" s="28" t="s">
        <v>458</v>
      </c>
      <c r="H67" s="28">
        <v>150000</v>
      </c>
    </row>
    <row r="68" spans="2:8">
      <c r="B68" s="26" t="s">
        <v>427</v>
      </c>
      <c r="C68" s="28" t="s">
        <v>460</v>
      </c>
      <c r="D68" s="42">
        <v>170000</v>
      </c>
      <c r="F68" s="26" t="s">
        <v>427</v>
      </c>
      <c r="G68" s="28" t="s">
        <v>460</v>
      </c>
      <c r="H68" s="28">
        <v>150000</v>
      </c>
    </row>
    <row r="69" spans="2:8">
      <c r="B69" s="26" t="s">
        <v>427</v>
      </c>
      <c r="C69" s="28" t="s">
        <v>462</v>
      </c>
      <c r="D69" s="42">
        <v>210000</v>
      </c>
      <c r="F69" s="26" t="s">
        <v>427</v>
      </c>
      <c r="G69" s="28" t="s">
        <v>462</v>
      </c>
      <c r="H69" s="28">
        <v>150000</v>
      </c>
    </row>
    <row r="70" spans="2:8">
      <c r="B70" s="26" t="s">
        <v>427</v>
      </c>
      <c r="C70" s="28" t="s">
        <v>463</v>
      </c>
      <c r="D70" s="42">
        <v>2550000</v>
      </c>
      <c r="F70" s="26" t="s">
        <v>427</v>
      </c>
      <c r="G70" s="28" t="s">
        <v>463</v>
      </c>
      <c r="H70" s="28">
        <v>150000</v>
      </c>
    </row>
    <row r="71" spans="2:8">
      <c r="B71" s="26" t="s">
        <v>427</v>
      </c>
      <c r="C71" s="28" t="s">
        <v>464</v>
      </c>
      <c r="D71" s="42">
        <v>2190000</v>
      </c>
      <c r="F71" s="26" t="s">
        <v>427</v>
      </c>
      <c r="G71" s="28" t="s">
        <v>464</v>
      </c>
      <c r="H71" s="28">
        <v>150000</v>
      </c>
    </row>
    <row r="72" spans="2:8">
      <c r="B72" s="26" t="s">
        <v>442</v>
      </c>
      <c r="C72" s="26" t="s">
        <v>475</v>
      </c>
      <c r="D72" s="42">
        <v>295281</v>
      </c>
      <c r="F72" s="26" t="s">
        <v>427</v>
      </c>
      <c r="G72" s="26" t="s">
        <v>476</v>
      </c>
      <c r="H72" s="42">
        <v>6517550.1</v>
      </c>
    </row>
    <row r="73" spans="2:8">
      <c r="B73" s="26" t="s">
        <v>427</v>
      </c>
      <c r="C73" s="26" t="s">
        <v>476</v>
      </c>
      <c r="D73" s="42">
        <v>6517550.1</v>
      </c>
      <c r="F73" s="26" t="s">
        <v>427</v>
      </c>
      <c r="G73" s="28" t="s">
        <v>477</v>
      </c>
      <c r="H73" s="42">
        <v>150000</v>
      </c>
    </row>
    <row r="74" spans="2:8">
      <c r="B74" s="26" t="s">
        <v>427</v>
      </c>
      <c r="C74" s="28" t="s">
        <v>477</v>
      </c>
      <c r="D74" s="42">
        <v>265000</v>
      </c>
      <c r="F74" s="26" t="s">
        <v>427</v>
      </c>
      <c r="G74" s="28" t="s">
        <v>466</v>
      </c>
      <c r="H74" s="42">
        <v>150000</v>
      </c>
    </row>
    <row r="75" spans="2:8">
      <c r="B75" s="26" t="s">
        <v>427</v>
      </c>
      <c r="C75" s="28" t="s">
        <v>466</v>
      </c>
      <c r="D75" s="42">
        <v>175000</v>
      </c>
      <c r="F75" s="26" t="s">
        <v>427</v>
      </c>
      <c r="G75" s="28" t="s">
        <v>468</v>
      </c>
      <c r="H75" s="42">
        <v>150000</v>
      </c>
    </row>
    <row r="76" spans="2:8">
      <c r="B76" s="26" t="s">
        <v>427</v>
      </c>
      <c r="C76" s="28" t="s">
        <v>468</v>
      </c>
      <c r="D76" s="42">
        <v>640000</v>
      </c>
      <c r="F76" s="26" t="s">
        <v>427</v>
      </c>
      <c r="G76" s="28" t="s">
        <v>478</v>
      </c>
      <c r="H76" s="28">
        <f>150000+10417</f>
        <v>160417</v>
      </c>
    </row>
    <row r="77" spans="2:8">
      <c r="B77" s="26" t="s">
        <v>427</v>
      </c>
      <c r="C77" s="28" t="s">
        <v>478</v>
      </c>
      <c r="D77" s="42">
        <v>170000</v>
      </c>
      <c r="F77" s="26" t="s">
        <v>427</v>
      </c>
      <c r="G77" s="28" t="s">
        <v>479</v>
      </c>
      <c r="H77" s="28">
        <v>150000</v>
      </c>
    </row>
    <row r="78" spans="2:8">
      <c r="B78" s="26" t="s">
        <v>427</v>
      </c>
      <c r="C78" s="28" t="s">
        <v>479</v>
      </c>
      <c r="D78" s="42">
        <v>4740000</v>
      </c>
      <c r="F78" s="26" t="s">
        <v>427</v>
      </c>
      <c r="G78" s="28" t="s">
        <v>480</v>
      </c>
      <c r="H78" s="28">
        <v>150000</v>
      </c>
    </row>
    <row r="79" spans="2:8">
      <c r="B79" s="26" t="s">
        <v>427</v>
      </c>
      <c r="C79" s="28" t="s">
        <v>480</v>
      </c>
      <c r="D79" s="42">
        <v>510000</v>
      </c>
      <c r="F79" s="26"/>
      <c r="G79" s="30"/>
      <c r="H79" s="28"/>
    </row>
    <row r="80" spans="2:8">
      <c r="B80" s="26"/>
      <c r="C80" s="26" t="s">
        <v>481</v>
      </c>
      <c r="D80" s="42"/>
      <c r="F80" s="26"/>
      <c r="G80" s="30"/>
      <c r="H80" s="28"/>
    </row>
    <row r="81" spans="2:8">
      <c r="B81" s="26"/>
      <c r="C81" s="30" t="s">
        <v>19</v>
      </c>
      <c r="D81" s="42">
        <f>D65-D66-D67-D68-D69-D70-D71+D72-D73-D74-D75-D76-D77-D78-D79</f>
        <v>-10205762.6</v>
      </c>
      <c r="F81" s="26"/>
      <c r="G81" s="30" t="s">
        <v>19</v>
      </c>
      <c r="H81" s="28">
        <f>H65-H66-H67-H68-H69-H70-H71-H72-H73-H74-H75-H76-H77-H78</f>
        <v>11877728.9</v>
      </c>
    </row>
    <row r="83" spans="7:7">
      <c r="G83" s="43"/>
    </row>
  </sheetData>
  <mergeCells count="13">
    <mergeCell ref="B7:C7"/>
    <mergeCell ref="G7:H7"/>
    <mergeCell ref="B14:C14"/>
    <mergeCell ref="G14:H14"/>
    <mergeCell ref="B22:C22"/>
    <mergeCell ref="G22:H22"/>
    <mergeCell ref="B29:C29"/>
    <mergeCell ref="G29:H29"/>
    <mergeCell ref="B36:C36"/>
    <mergeCell ref="B44:C44"/>
    <mergeCell ref="G44:H44"/>
    <mergeCell ref="B64:C64"/>
    <mergeCell ref="G64:H6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I15" sqref="I15"/>
    </sheetView>
  </sheetViews>
  <sheetFormatPr defaultColWidth="9" defaultRowHeight="12.75"/>
  <cols>
    <col min="1" max="1" width="5.66666666666667" style="2" customWidth="1"/>
    <col min="2" max="2" width="10.3333333333333" style="2" customWidth="1"/>
    <col min="3" max="3" width="23.1047619047619" style="2" customWidth="1"/>
    <col min="4" max="4" width="12.3333333333333" style="3" customWidth="1"/>
    <col min="5" max="5" width="12.1047619047619" style="3" customWidth="1"/>
    <col min="6" max="6" width="13.4380952380952" style="3" customWidth="1"/>
    <col min="7" max="7" width="11.3333333333333" style="3" customWidth="1"/>
    <col min="8" max="8" width="13.2190476190476" style="3" customWidth="1"/>
    <col min="9" max="9" width="11.4380952380952" style="3" customWidth="1"/>
    <col min="10" max="10" width="12.8857142857143" style="3" customWidth="1"/>
    <col min="11" max="11" width="11.2190476190476" style="2" customWidth="1"/>
    <col min="12" max="12" width="10.7809523809524" style="2" customWidth="1"/>
    <col min="13" max="13" width="10.552380952381" style="4" customWidth="1"/>
    <col min="14" max="14" width="11.6666666666667" style="4" customWidth="1"/>
    <col min="15" max="257" width="9.1047619047619" style="2"/>
    <col min="258" max="258" width="5.66666666666667" style="2" customWidth="1"/>
    <col min="259" max="259" width="10.3333333333333" style="2" customWidth="1"/>
    <col min="260" max="260" width="23.1047619047619" style="2" customWidth="1"/>
    <col min="261" max="261" width="12.3333333333333" style="2" customWidth="1"/>
    <col min="262" max="262" width="12.1047619047619" style="2" customWidth="1"/>
    <col min="263" max="263" width="13.4380952380952" style="2" customWidth="1"/>
    <col min="264" max="265" width="10.3333333333333" style="2" customWidth="1"/>
    <col min="266" max="266" width="12.8857142857143" style="2" customWidth="1"/>
    <col min="267" max="267" width="9.33333333333333" style="2" customWidth="1"/>
    <col min="268" max="268" width="8.66666666666667" style="2" customWidth="1"/>
    <col min="269" max="269" width="10.552380952381" style="2" customWidth="1"/>
    <col min="270" max="270" width="11.6666666666667" style="2" customWidth="1"/>
    <col min="271" max="513" width="9.1047619047619" style="2"/>
    <col min="514" max="514" width="5.66666666666667" style="2" customWidth="1"/>
    <col min="515" max="515" width="10.3333333333333" style="2" customWidth="1"/>
    <col min="516" max="516" width="23.1047619047619" style="2" customWidth="1"/>
    <col min="517" max="517" width="12.3333333333333" style="2" customWidth="1"/>
    <col min="518" max="518" width="12.1047619047619" style="2" customWidth="1"/>
    <col min="519" max="519" width="13.4380952380952" style="2" customWidth="1"/>
    <col min="520" max="521" width="10.3333333333333" style="2" customWidth="1"/>
    <col min="522" max="522" width="12.8857142857143" style="2" customWidth="1"/>
    <col min="523" max="523" width="9.33333333333333" style="2" customWidth="1"/>
    <col min="524" max="524" width="8.66666666666667" style="2" customWidth="1"/>
    <col min="525" max="525" width="10.552380952381" style="2" customWidth="1"/>
    <col min="526" max="526" width="11.6666666666667" style="2" customWidth="1"/>
    <col min="527" max="769" width="9.1047619047619" style="2"/>
    <col min="770" max="770" width="5.66666666666667" style="2" customWidth="1"/>
    <col min="771" max="771" width="10.3333333333333" style="2" customWidth="1"/>
    <col min="772" max="772" width="23.1047619047619" style="2" customWidth="1"/>
    <col min="773" max="773" width="12.3333333333333" style="2" customWidth="1"/>
    <col min="774" max="774" width="12.1047619047619" style="2" customWidth="1"/>
    <col min="775" max="775" width="13.4380952380952" style="2" customWidth="1"/>
    <col min="776" max="777" width="10.3333333333333" style="2" customWidth="1"/>
    <col min="778" max="778" width="12.8857142857143" style="2" customWidth="1"/>
    <col min="779" max="779" width="9.33333333333333" style="2" customWidth="1"/>
    <col min="780" max="780" width="8.66666666666667" style="2" customWidth="1"/>
    <col min="781" max="781" width="10.552380952381" style="2" customWidth="1"/>
    <col min="782" max="782" width="11.6666666666667" style="2" customWidth="1"/>
    <col min="783" max="1025" width="9.1047619047619" style="2"/>
    <col min="1026" max="1026" width="5.66666666666667" style="2" customWidth="1"/>
    <col min="1027" max="1027" width="10.3333333333333" style="2" customWidth="1"/>
    <col min="1028" max="1028" width="23.1047619047619" style="2" customWidth="1"/>
    <col min="1029" max="1029" width="12.3333333333333" style="2" customWidth="1"/>
    <col min="1030" max="1030" width="12.1047619047619" style="2" customWidth="1"/>
    <col min="1031" max="1031" width="13.4380952380952" style="2" customWidth="1"/>
    <col min="1032" max="1033" width="10.3333333333333" style="2" customWidth="1"/>
    <col min="1034" max="1034" width="12.8857142857143" style="2" customWidth="1"/>
    <col min="1035" max="1035" width="9.33333333333333" style="2" customWidth="1"/>
    <col min="1036" max="1036" width="8.66666666666667" style="2" customWidth="1"/>
    <col min="1037" max="1037" width="10.552380952381" style="2" customWidth="1"/>
    <col min="1038" max="1038" width="11.6666666666667" style="2" customWidth="1"/>
    <col min="1039" max="1281" width="9.1047619047619" style="2"/>
    <col min="1282" max="1282" width="5.66666666666667" style="2" customWidth="1"/>
    <col min="1283" max="1283" width="10.3333333333333" style="2" customWidth="1"/>
    <col min="1284" max="1284" width="23.1047619047619" style="2" customWidth="1"/>
    <col min="1285" max="1285" width="12.3333333333333" style="2" customWidth="1"/>
    <col min="1286" max="1286" width="12.1047619047619" style="2" customWidth="1"/>
    <col min="1287" max="1287" width="13.4380952380952" style="2" customWidth="1"/>
    <col min="1288" max="1289" width="10.3333333333333" style="2" customWidth="1"/>
    <col min="1290" max="1290" width="12.8857142857143" style="2" customWidth="1"/>
    <col min="1291" max="1291" width="9.33333333333333" style="2" customWidth="1"/>
    <col min="1292" max="1292" width="8.66666666666667" style="2" customWidth="1"/>
    <col min="1293" max="1293" width="10.552380952381" style="2" customWidth="1"/>
    <col min="1294" max="1294" width="11.6666666666667" style="2" customWidth="1"/>
    <col min="1295" max="1537" width="9.1047619047619" style="2"/>
    <col min="1538" max="1538" width="5.66666666666667" style="2" customWidth="1"/>
    <col min="1539" max="1539" width="10.3333333333333" style="2" customWidth="1"/>
    <col min="1540" max="1540" width="23.1047619047619" style="2" customWidth="1"/>
    <col min="1541" max="1541" width="12.3333333333333" style="2" customWidth="1"/>
    <col min="1542" max="1542" width="12.1047619047619" style="2" customWidth="1"/>
    <col min="1543" max="1543" width="13.4380952380952" style="2" customWidth="1"/>
    <col min="1544" max="1545" width="10.3333333333333" style="2" customWidth="1"/>
    <col min="1546" max="1546" width="12.8857142857143" style="2" customWidth="1"/>
    <col min="1547" max="1547" width="9.33333333333333" style="2" customWidth="1"/>
    <col min="1548" max="1548" width="8.66666666666667" style="2" customWidth="1"/>
    <col min="1549" max="1549" width="10.552380952381" style="2" customWidth="1"/>
    <col min="1550" max="1550" width="11.6666666666667" style="2" customWidth="1"/>
    <col min="1551" max="1793" width="9.1047619047619" style="2"/>
    <col min="1794" max="1794" width="5.66666666666667" style="2" customWidth="1"/>
    <col min="1795" max="1795" width="10.3333333333333" style="2" customWidth="1"/>
    <col min="1796" max="1796" width="23.1047619047619" style="2" customWidth="1"/>
    <col min="1797" max="1797" width="12.3333333333333" style="2" customWidth="1"/>
    <col min="1798" max="1798" width="12.1047619047619" style="2" customWidth="1"/>
    <col min="1799" max="1799" width="13.4380952380952" style="2" customWidth="1"/>
    <col min="1800" max="1801" width="10.3333333333333" style="2" customWidth="1"/>
    <col min="1802" max="1802" width="12.8857142857143" style="2" customWidth="1"/>
    <col min="1803" max="1803" width="9.33333333333333" style="2" customWidth="1"/>
    <col min="1804" max="1804" width="8.66666666666667" style="2" customWidth="1"/>
    <col min="1805" max="1805" width="10.552380952381" style="2" customWidth="1"/>
    <col min="1806" max="1806" width="11.6666666666667" style="2" customWidth="1"/>
    <col min="1807" max="2049" width="9.1047619047619" style="2"/>
    <col min="2050" max="2050" width="5.66666666666667" style="2" customWidth="1"/>
    <col min="2051" max="2051" width="10.3333333333333" style="2" customWidth="1"/>
    <col min="2052" max="2052" width="23.1047619047619" style="2" customWidth="1"/>
    <col min="2053" max="2053" width="12.3333333333333" style="2" customWidth="1"/>
    <col min="2054" max="2054" width="12.1047619047619" style="2" customWidth="1"/>
    <col min="2055" max="2055" width="13.4380952380952" style="2" customWidth="1"/>
    <col min="2056" max="2057" width="10.3333333333333" style="2" customWidth="1"/>
    <col min="2058" max="2058" width="12.8857142857143" style="2" customWidth="1"/>
    <col min="2059" max="2059" width="9.33333333333333" style="2" customWidth="1"/>
    <col min="2060" max="2060" width="8.66666666666667" style="2" customWidth="1"/>
    <col min="2061" max="2061" width="10.552380952381" style="2" customWidth="1"/>
    <col min="2062" max="2062" width="11.6666666666667" style="2" customWidth="1"/>
    <col min="2063" max="2305" width="9.1047619047619" style="2"/>
    <col min="2306" max="2306" width="5.66666666666667" style="2" customWidth="1"/>
    <col min="2307" max="2307" width="10.3333333333333" style="2" customWidth="1"/>
    <col min="2308" max="2308" width="23.1047619047619" style="2" customWidth="1"/>
    <col min="2309" max="2309" width="12.3333333333333" style="2" customWidth="1"/>
    <col min="2310" max="2310" width="12.1047619047619" style="2" customWidth="1"/>
    <col min="2311" max="2311" width="13.4380952380952" style="2" customWidth="1"/>
    <col min="2312" max="2313" width="10.3333333333333" style="2" customWidth="1"/>
    <col min="2314" max="2314" width="12.8857142857143" style="2" customWidth="1"/>
    <col min="2315" max="2315" width="9.33333333333333" style="2" customWidth="1"/>
    <col min="2316" max="2316" width="8.66666666666667" style="2" customWidth="1"/>
    <col min="2317" max="2317" width="10.552380952381" style="2" customWidth="1"/>
    <col min="2318" max="2318" width="11.6666666666667" style="2" customWidth="1"/>
    <col min="2319" max="2561" width="9.1047619047619" style="2"/>
    <col min="2562" max="2562" width="5.66666666666667" style="2" customWidth="1"/>
    <col min="2563" max="2563" width="10.3333333333333" style="2" customWidth="1"/>
    <col min="2564" max="2564" width="23.1047619047619" style="2" customWidth="1"/>
    <col min="2565" max="2565" width="12.3333333333333" style="2" customWidth="1"/>
    <col min="2566" max="2566" width="12.1047619047619" style="2" customWidth="1"/>
    <col min="2567" max="2567" width="13.4380952380952" style="2" customWidth="1"/>
    <col min="2568" max="2569" width="10.3333333333333" style="2" customWidth="1"/>
    <col min="2570" max="2570" width="12.8857142857143" style="2" customWidth="1"/>
    <col min="2571" max="2571" width="9.33333333333333" style="2" customWidth="1"/>
    <col min="2572" max="2572" width="8.66666666666667" style="2" customWidth="1"/>
    <col min="2573" max="2573" width="10.552380952381" style="2" customWidth="1"/>
    <col min="2574" max="2574" width="11.6666666666667" style="2" customWidth="1"/>
    <col min="2575" max="2817" width="9.1047619047619" style="2"/>
    <col min="2818" max="2818" width="5.66666666666667" style="2" customWidth="1"/>
    <col min="2819" max="2819" width="10.3333333333333" style="2" customWidth="1"/>
    <col min="2820" max="2820" width="23.1047619047619" style="2" customWidth="1"/>
    <col min="2821" max="2821" width="12.3333333333333" style="2" customWidth="1"/>
    <col min="2822" max="2822" width="12.1047619047619" style="2" customWidth="1"/>
    <col min="2823" max="2823" width="13.4380952380952" style="2" customWidth="1"/>
    <col min="2824" max="2825" width="10.3333333333333" style="2" customWidth="1"/>
    <col min="2826" max="2826" width="12.8857142857143" style="2" customWidth="1"/>
    <col min="2827" max="2827" width="9.33333333333333" style="2" customWidth="1"/>
    <col min="2828" max="2828" width="8.66666666666667" style="2" customWidth="1"/>
    <col min="2829" max="2829" width="10.552380952381" style="2" customWidth="1"/>
    <col min="2830" max="2830" width="11.6666666666667" style="2" customWidth="1"/>
    <col min="2831" max="3073" width="9.1047619047619" style="2"/>
    <col min="3074" max="3074" width="5.66666666666667" style="2" customWidth="1"/>
    <col min="3075" max="3075" width="10.3333333333333" style="2" customWidth="1"/>
    <col min="3076" max="3076" width="23.1047619047619" style="2" customWidth="1"/>
    <col min="3077" max="3077" width="12.3333333333333" style="2" customWidth="1"/>
    <col min="3078" max="3078" width="12.1047619047619" style="2" customWidth="1"/>
    <col min="3079" max="3079" width="13.4380952380952" style="2" customWidth="1"/>
    <col min="3080" max="3081" width="10.3333333333333" style="2" customWidth="1"/>
    <col min="3082" max="3082" width="12.8857142857143" style="2" customWidth="1"/>
    <col min="3083" max="3083" width="9.33333333333333" style="2" customWidth="1"/>
    <col min="3084" max="3084" width="8.66666666666667" style="2" customWidth="1"/>
    <col min="3085" max="3085" width="10.552380952381" style="2" customWidth="1"/>
    <col min="3086" max="3086" width="11.6666666666667" style="2" customWidth="1"/>
    <col min="3087" max="3329" width="9.1047619047619" style="2"/>
    <col min="3330" max="3330" width="5.66666666666667" style="2" customWidth="1"/>
    <col min="3331" max="3331" width="10.3333333333333" style="2" customWidth="1"/>
    <col min="3332" max="3332" width="23.1047619047619" style="2" customWidth="1"/>
    <col min="3333" max="3333" width="12.3333333333333" style="2" customWidth="1"/>
    <col min="3334" max="3334" width="12.1047619047619" style="2" customWidth="1"/>
    <col min="3335" max="3335" width="13.4380952380952" style="2" customWidth="1"/>
    <col min="3336" max="3337" width="10.3333333333333" style="2" customWidth="1"/>
    <col min="3338" max="3338" width="12.8857142857143" style="2" customWidth="1"/>
    <col min="3339" max="3339" width="9.33333333333333" style="2" customWidth="1"/>
    <col min="3340" max="3340" width="8.66666666666667" style="2" customWidth="1"/>
    <col min="3341" max="3341" width="10.552380952381" style="2" customWidth="1"/>
    <col min="3342" max="3342" width="11.6666666666667" style="2" customWidth="1"/>
    <col min="3343" max="3585" width="9.1047619047619" style="2"/>
    <col min="3586" max="3586" width="5.66666666666667" style="2" customWidth="1"/>
    <col min="3587" max="3587" width="10.3333333333333" style="2" customWidth="1"/>
    <col min="3588" max="3588" width="23.1047619047619" style="2" customWidth="1"/>
    <col min="3589" max="3589" width="12.3333333333333" style="2" customWidth="1"/>
    <col min="3590" max="3590" width="12.1047619047619" style="2" customWidth="1"/>
    <col min="3591" max="3591" width="13.4380952380952" style="2" customWidth="1"/>
    <col min="3592" max="3593" width="10.3333333333333" style="2" customWidth="1"/>
    <col min="3594" max="3594" width="12.8857142857143" style="2" customWidth="1"/>
    <col min="3595" max="3595" width="9.33333333333333" style="2" customWidth="1"/>
    <col min="3596" max="3596" width="8.66666666666667" style="2" customWidth="1"/>
    <col min="3597" max="3597" width="10.552380952381" style="2" customWidth="1"/>
    <col min="3598" max="3598" width="11.6666666666667" style="2" customWidth="1"/>
    <col min="3599" max="3841" width="9.1047619047619" style="2"/>
    <col min="3842" max="3842" width="5.66666666666667" style="2" customWidth="1"/>
    <col min="3843" max="3843" width="10.3333333333333" style="2" customWidth="1"/>
    <col min="3844" max="3844" width="23.1047619047619" style="2" customWidth="1"/>
    <col min="3845" max="3845" width="12.3333333333333" style="2" customWidth="1"/>
    <col min="3846" max="3846" width="12.1047619047619" style="2" customWidth="1"/>
    <col min="3847" max="3847" width="13.4380952380952" style="2" customWidth="1"/>
    <col min="3848" max="3849" width="10.3333333333333" style="2" customWidth="1"/>
    <col min="3850" max="3850" width="12.8857142857143" style="2" customWidth="1"/>
    <col min="3851" max="3851" width="9.33333333333333" style="2" customWidth="1"/>
    <col min="3852" max="3852" width="8.66666666666667" style="2" customWidth="1"/>
    <col min="3853" max="3853" width="10.552380952381" style="2" customWidth="1"/>
    <col min="3854" max="3854" width="11.6666666666667" style="2" customWidth="1"/>
    <col min="3855" max="4097" width="9.1047619047619" style="2"/>
    <col min="4098" max="4098" width="5.66666666666667" style="2" customWidth="1"/>
    <col min="4099" max="4099" width="10.3333333333333" style="2" customWidth="1"/>
    <col min="4100" max="4100" width="23.1047619047619" style="2" customWidth="1"/>
    <col min="4101" max="4101" width="12.3333333333333" style="2" customWidth="1"/>
    <col min="4102" max="4102" width="12.1047619047619" style="2" customWidth="1"/>
    <col min="4103" max="4103" width="13.4380952380952" style="2" customWidth="1"/>
    <col min="4104" max="4105" width="10.3333333333333" style="2" customWidth="1"/>
    <col min="4106" max="4106" width="12.8857142857143" style="2" customWidth="1"/>
    <col min="4107" max="4107" width="9.33333333333333" style="2" customWidth="1"/>
    <col min="4108" max="4108" width="8.66666666666667" style="2" customWidth="1"/>
    <col min="4109" max="4109" width="10.552380952381" style="2" customWidth="1"/>
    <col min="4110" max="4110" width="11.6666666666667" style="2" customWidth="1"/>
    <col min="4111" max="4353" width="9.1047619047619" style="2"/>
    <col min="4354" max="4354" width="5.66666666666667" style="2" customWidth="1"/>
    <col min="4355" max="4355" width="10.3333333333333" style="2" customWidth="1"/>
    <col min="4356" max="4356" width="23.1047619047619" style="2" customWidth="1"/>
    <col min="4357" max="4357" width="12.3333333333333" style="2" customWidth="1"/>
    <col min="4358" max="4358" width="12.1047619047619" style="2" customWidth="1"/>
    <col min="4359" max="4359" width="13.4380952380952" style="2" customWidth="1"/>
    <col min="4360" max="4361" width="10.3333333333333" style="2" customWidth="1"/>
    <col min="4362" max="4362" width="12.8857142857143" style="2" customWidth="1"/>
    <col min="4363" max="4363" width="9.33333333333333" style="2" customWidth="1"/>
    <col min="4364" max="4364" width="8.66666666666667" style="2" customWidth="1"/>
    <col min="4365" max="4365" width="10.552380952381" style="2" customWidth="1"/>
    <col min="4366" max="4366" width="11.6666666666667" style="2" customWidth="1"/>
    <col min="4367" max="4609" width="9.1047619047619" style="2"/>
    <col min="4610" max="4610" width="5.66666666666667" style="2" customWidth="1"/>
    <col min="4611" max="4611" width="10.3333333333333" style="2" customWidth="1"/>
    <col min="4612" max="4612" width="23.1047619047619" style="2" customWidth="1"/>
    <col min="4613" max="4613" width="12.3333333333333" style="2" customWidth="1"/>
    <col min="4614" max="4614" width="12.1047619047619" style="2" customWidth="1"/>
    <col min="4615" max="4615" width="13.4380952380952" style="2" customWidth="1"/>
    <col min="4616" max="4617" width="10.3333333333333" style="2" customWidth="1"/>
    <col min="4618" max="4618" width="12.8857142857143" style="2" customWidth="1"/>
    <col min="4619" max="4619" width="9.33333333333333" style="2" customWidth="1"/>
    <col min="4620" max="4620" width="8.66666666666667" style="2" customWidth="1"/>
    <col min="4621" max="4621" width="10.552380952381" style="2" customWidth="1"/>
    <col min="4622" max="4622" width="11.6666666666667" style="2" customWidth="1"/>
    <col min="4623" max="4865" width="9.1047619047619" style="2"/>
    <col min="4866" max="4866" width="5.66666666666667" style="2" customWidth="1"/>
    <col min="4867" max="4867" width="10.3333333333333" style="2" customWidth="1"/>
    <col min="4868" max="4868" width="23.1047619047619" style="2" customWidth="1"/>
    <col min="4869" max="4869" width="12.3333333333333" style="2" customWidth="1"/>
    <col min="4870" max="4870" width="12.1047619047619" style="2" customWidth="1"/>
    <col min="4871" max="4871" width="13.4380952380952" style="2" customWidth="1"/>
    <col min="4872" max="4873" width="10.3333333333333" style="2" customWidth="1"/>
    <col min="4874" max="4874" width="12.8857142857143" style="2" customWidth="1"/>
    <col min="4875" max="4875" width="9.33333333333333" style="2" customWidth="1"/>
    <col min="4876" max="4876" width="8.66666666666667" style="2" customWidth="1"/>
    <col min="4877" max="4877" width="10.552380952381" style="2" customWidth="1"/>
    <col min="4878" max="4878" width="11.6666666666667" style="2" customWidth="1"/>
    <col min="4879" max="5121" width="9.1047619047619" style="2"/>
    <col min="5122" max="5122" width="5.66666666666667" style="2" customWidth="1"/>
    <col min="5123" max="5123" width="10.3333333333333" style="2" customWidth="1"/>
    <col min="5124" max="5124" width="23.1047619047619" style="2" customWidth="1"/>
    <col min="5125" max="5125" width="12.3333333333333" style="2" customWidth="1"/>
    <col min="5126" max="5126" width="12.1047619047619" style="2" customWidth="1"/>
    <col min="5127" max="5127" width="13.4380952380952" style="2" customWidth="1"/>
    <col min="5128" max="5129" width="10.3333333333333" style="2" customWidth="1"/>
    <col min="5130" max="5130" width="12.8857142857143" style="2" customWidth="1"/>
    <col min="5131" max="5131" width="9.33333333333333" style="2" customWidth="1"/>
    <col min="5132" max="5132" width="8.66666666666667" style="2" customWidth="1"/>
    <col min="5133" max="5133" width="10.552380952381" style="2" customWidth="1"/>
    <col min="5134" max="5134" width="11.6666666666667" style="2" customWidth="1"/>
    <col min="5135" max="5377" width="9.1047619047619" style="2"/>
    <col min="5378" max="5378" width="5.66666666666667" style="2" customWidth="1"/>
    <col min="5379" max="5379" width="10.3333333333333" style="2" customWidth="1"/>
    <col min="5380" max="5380" width="23.1047619047619" style="2" customWidth="1"/>
    <col min="5381" max="5381" width="12.3333333333333" style="2" customWidth="1"/>
    <col min="5382" max="5382" width="12.1047619047619" style="2" customWidth="1"/>
    <col min="5383" max="5383" width="13.4380952380952" style="2" customWidth="1"/>
    <col min="5384" max="5385" width="10.3333333333333" style="2" customWidth="1"/>
    <col min="5386" max="5386" width="12.8857142857143" style="2" customWidth="1"/>
    <col min="5387" max="5387" width="9.33333333333333" style="2" customWidth="1"/>
    <col min="5388" max="5388" width="8.66666666666667" style="2" customWidth="1"/>
    <col min="5389" max="5389" width="10.552380952381" style="2" customWidth="1"/>
    <col min="5390" max="5390" width="11.6666666666667" style="2" customWidth="1"/>
    <col min="5391" max="5633" width="9.1047619047619" style="2"/>
    <col min="5634" max="5634" width="5.66666666666667" style="2" customWidth="1"/>
    <col min="5635" max="5635" width="10.3333333333333" style="2" customWidth="1"/>
    <col min="5636" max="5636" width="23.1047619047619" style="2" customWidth="1"/>
    <col min="5637" max="5637" width="12.3333333333333" style="2" customWidth="1"/>
    <col min="5638" max="5638" width="12.1047619047619" style="2" customWidth="1"/>
    <col min="5639" max="5639" width="13.4380952380952" style="2" customWidth="1"/>
    <col min="5640" max="5641" width="10.3333333333333" style="2" customWidth="1"/>
    <col min="5642" max="5642" width="12.8857142857143" style="2" customWidth="1"/>
    <col min="5643" max="5643" width="9.33333333333333" style="2" customWidth="1"/>
    <col min="5644" max="5644" width="8.66666666666667" style="2" customWidth="1"/>
    <col min="5645" max="5645" width="10.552380952381" style="2" customWidth="1"/>
    <col min="5646" max="5646" width="11.6666666666667" style="2" customWidth="1"/>
    <col min="5647" max="5889" width="9.1047619047619" style="2"/>
    <col min="5890" max="5890" width="5.66666666666667" style="2" customWidth="1"/>
    <col min="5891" max="5891" width="10.3333333333333" style="2" customWidth="1"/>
    <col min="5892" max="5892" width="23.1047619047619" style="2" customWidth="1"/>
    <col min="5893" max="5893" width="12.3333333333333" style="2" customWidth="1"/>
    <col min="5894" max="5894" width="12.1047619047619" style="2" customWidth="1"/>
    <col min="5895" max="5895" width="13.4380952380952" style="2" customWidth="1"/>
    <col min="5896" max="5897" width="10.3333333333333" style="2" customWidth="1"/>
    <col min="5898" max="5898" width="12.8857142857143" style="2" customWidth="1"/>
    <col min="5899" max="5899" width="9.33333333333333" style="2" customWidth="1"/>
    <col min="5900" max="5900" width="8.66666666666667" style="2" customWidth="1"/>
    <col min="5901" max="5901" width="10.552380952381" style="2" customWidth="1"/>
    <col min="5902" max="5902" width="11.6666666666667" style="2" customWidth="1"/>
    <col min="5903" max="6145" width="9.1047619047619" style="2"/>
    <col min="6146" max="6146" width="5.66666666666667" style="2" customWidth="1"/>
    <col min="6147" max="6147" width="10.3333333333333" style="2" customWidth="1"/>
    <col min="6148" max="6148" width="23.1047619047619" style="2" customWidth="1"/>
    <col min="6149" max="6149" width="12.3333333333333" style="2" customWidth="1"/>
    <col min="6150" max="6150" width="12.1047619047619" style="2" customWidth="1"/>
    <col min="6151" max="6151" width="13.4380952380952" style="2" customWidth="1"/>
    <col min="6152" max="6153" width="10.3333333333333" style="2" customWidth="1"/>
    <col min="6154" max="6154" width="12.8857142857143" style="2" customWidth="1"/>
    <col min="6155" max="6155" width="9.33333333333333" style="2" customWidth="1"/>
    <col min="6156" max="6156" width="8.66666666666667" style="2" customWidth="1"/>
    <col min="6157" max="6157" width="10.552380952381" style="2" customWidth="1"/>
    <col min="6158" max="6158" width="11.6666666666667" style="2" customWidth="1"/>
    <col min="6159" max="6401" width="9.1047619047619" style="2"/>
    <col min="6402" max="6402" width="5.66666666666667" style="2" customWidth="1"/>
    <col min="6403" max="6403" width="10.3333333333333" style="2" customWidth="1"/>
    <col min="6404" max="6404" width="23.1047619047619" style="2" customWidth="1"/>
    <col min="6405" max="6405" width="12.3333333333333" style="2" customWidth="1"/>
    <col min="6406" max="6406" width="12.1047619047619" style="2" customWidth="1"/>
    <col min="6407" max="6407" width="13.4380952380952" style="2" customWidth="1"/>
    <col min="6408" max="6409" width="10.3333333333333" style="2" customWidth="1"/>
    <col min="6410" max="6410" width="12.8857142857143" style="2" customWidth="1"/>
    <col min="6411" max="6411" width="9.33333333333333" style="2" customWidth="1"/>
    <col min="6412" max="6412" width="8.66666666666667" style="2" customWidth="1"/>
    <col min="6413" max="6413" width="10.552380952381" style="2" customWidth="1"/>
    <col min="6414" max="6414" width="11.6666666666667" style="2" customWidth="1"/>
    <col min="6415" max="6657" width="9.1047619047619" style="2"/>
    <col min="6658" max="6658" width="5.66666666666667" style="2" customWidth="1"/>
    <col min="6659" max="6659" width="10.3333333333333" style="2" customWidth="1"/>
    <col min="6660" max="6660" width="23.1047619047619" style="2" customWidth="1"/>
    <col min="6661" max="6661" width="12.3333333333333" style="2" customWidth="1"/>
    <col min="6662" max="6662" width="12.1047619047619" style="2" customWidth="1"/>
    <col min="6663" max="6663" width="13.4380952380952" style="2" customWidth="1"/>
    <col min="6664" max="6665" width="10.3333333333333" style="2" customWidth="1"/>
    <col min="6666" max="6666" width="12.8857142857143" style="2" customWidth="1"/>
    <col min="6667" max="6667" width="9.33333333333333" style="2" customWidth="1"/>
    <col min="6668" max="6668" width="8.66666666666667" style="2" customWidth="1"/>
    <col min="6669" max="6669" width="10.552380952381" style="2" customWidth="1"/>
    <col min="6670" max="6670" width="11.6666666666667" style="2" customWidth="1"/>
    <col min="6671" max="6913" width="9.1047619047619" style="2"/>
    <col min="6914" max="6914" width="5.66666666666667" style="2" customWidth="1"/>
    <col min="6915" max="6915" width="10.3333333333333" style="2" customWidth="1"/>
    <col min="6916" max="6916" width="23.1047619047619" style="2" customWidth="1"/>
    <col min="6917" max="6917" width="12.3333333333333" style="2" customWidth="1"/>
    <col min="6918" max="6918" width="12.1047619047619" style="2" customWidth="1"/>
    <col min="6919" max="6919" width="13.4380952380952" style="2" customWidth="1"/>
    <col min="6920" max="6921" width="10.3333333333333" style="2" customWidth="1"/>
    <col min="6922" max="6922" width="12.8857142857143" style="2" customWidth="1"/>
    <col min="6923" max="6923" width="9.33333333333333" style="2" customWidth="1"/>
    <col min="6924" max="6924" width="8.66666666666667" style="2" customWidth="1"/>
    <col min="6925" max="6925" width="10.552380952381" style="2" customWidth="1"/>
    <col min="6926" max="6926" width="11.6666666666667" style="2" customWidth="1"/>
    <col min="6927" max="7169" width="9.1047619047619" style="2"/>
    <col min="7170" max="7170" width="5.66666666666667" style="2" customWidth="1"/>
    <col min="7171" max="7171" width="10.3333333333333" style="2" customWidth="1"/>
    <col min="7172" max="7172" width="23.1047619047619" style="2" customWidth="1"/>
    <col min="7173" max="7173" width="12.3333333333333" style="2" customWidth="1"/>
    <col min="7174" max="7174" width="12.1047619047619" style="2" customWidth="1"/>
    <col min="7175" max="7175" width="13.4380952380952" style="2" customWidth="1"/>
    <col min="7176" max="7177" width="10.3333333333333" style="2" customWidth="1"/>
    <col min="7178" max="7178" width="12.8857142857143" style="2" customWidth="1"/>
    <col min="7179" max="7179" width="9.33333333333333" style="2" customWidth="1"/>
    <col min="7180" max="7180" width="8.66666666666667" style="2" customWidth="1"/>
    <col min="7181" max="7181" width="10.552380952381" style="2" customWidth="1"/>
    <col min="7182" max="7182" width="11.6666666666667" style="2" customWidth="1"/>
    <col min="7183" max="7425" width="9.1047619047619" style="2"/>
    <col min="7426" max="7426" width="5.66666666666667" style="2" customWidth="1"/>
    <col min="7427" max="7427" width="10.3333333333333" style="2" customWidth="1"/>
    <col min="7428" max="7428" width="23.1047619047619" style="2" customWidth="1"/>
    <col min="7429" max="7429" width="12.3333333333333" style="2" customWidth="1"/>
    <col min="7430" max="7430" width="12.1047619047619" style="2" customWidth="1"/>
    <col min="7431" max="7431" width="13.4380952380952" style="2" customWidth="1"/>
    <col min="7432" max="7433" width="10.3333333333333" style="2" customWidth="1"/>
    <col min="7434" max="7434" width="12.8857142857143" style="2" customWidth="1"/>
    <col min="7435" max="7435" width="9.33333333333333" style="2" customWidth="1"/>
    <col min="7436" max="7436" width="8.66666666666667" style="2" customWidth="1"/>
    <col min="7437" max="7437" width="10.552380952381" style="2" customWidth="1"/>
    <col min="7438" max="7438" width="11.6666666666667" style="2" customWidth="1"/>
    <col min="7439" max="7681" width="9.1047619047619" style="2"/>
    <col min="7682" max="7682" width="5.66666666666667" style="2" customWidth="1"/>
    <col min="7683" max="7683" width="10.3333333333333" style="2" customWidth="1"/>
    <col min="7684" max="7684" width="23.1047619047619" style="2" customWidth="1"/>
    <col min="7685" max="7685" width="12.3333333333333" style="2" customWidth="1"/>
    <col min="7686" max="7686" width="12.1047619047619" style="2" customWidth="1"/>
    <col min="7687" max="7687" width="13.4380952380952" style="2" customWidth="1"/>
    <col min="7688" max="7689" width="10.3333333333333" style="2" customWidth="1"/>
    <col min="7690" max="7690" width="12.8857142857143" style="2" customWidth="1"/>
    <col min="7691" max="7691" width="9.33333333333333" style="2" customWidth="1"/>
    <col min="7692" max="7692" width="8.66666666666667" style="2" customWidth="1"/>
    <col min="7693" max="7693" width="10.552380952381" style="2" customWidth="1"/>
    <col min="7694" max="7694" width="11.6666666666667" style="2" customWidth="1"/>
    <col min="7695" max="7937" width="9.1047619047619" style="2"/>
    <col min="7938" max="7938" width="5.66666666666667" style="2" customWidth="1"/>
    <col min="7939" max="7939" width="10.3333333333333" style="2" customWidth="1"/>
    <col min="7940" max="7940" width="23.1047619047619" style="2" customWidth="1"/>
    <col min="7941" max="7941" width="12.3333333333333" style="2" customWidth="1"/>
    <col min="7942" max="7942" width="12.1047619047619" style="2" customWidth="1"/>
    <col min="7943" max="7943" width="13.4380952380952" style="2" customWidth="1"/>
    <col min="7944" max="7945" width="10.3333333333333" style="2" customWidth="1"/>
    <col min="7946" max="7946" width="12.8857142857143" style="2" customWidth="1"/>
    <col min="7947" max="7947" width="9.33333333333333" style="2" customWidth="1"/>
    <col min="7948" max="7948" width="8.66666666666667" style="2" customWidth="1"/>
    <col min="7949" max="7949" width="10.552380952381" style="2" customWidth="1"/>
    <col min="7950" max="7950" width="11.6666666666667" style="2" customWidth="1"/>
    <col min="7951" max="8193" width="9.1047619047619" style="2"/>
    <col min="8194" max="8194" width="5.66666666666667" style="2" customWidth="1"/>
    <col min="8195" max="8195" width="10.3333333333333" style="2" customWidth="1"/>
    <col min="8196" max="8196" width="23.1047619047619" style="2" customWidth="1"/>
    <col min="8197" max="8197" width="12.3333333333333" style="2" customWidth="1"/>
    <col min="8198" max="8198" width="12.1047619047619" style="2" customWidth="1"/>
    <col min="8199" max="8199" width="13.4380952380952" style="2" customWidth="1"/>
    <col min="8200" max="8201" width="10.3333333333333" style="2" customWidth="1"/>
    <col min="8202" max="8202" width="12.8857142857143" style="2" customWidth="1"/>
    <col min="8203" max="8203" width="9.33333333333333" style="2" customWidth="1"/>
    <col min="8204" max="8204" width="8.66666666666667" style="2" customWidth="1"/>
    <col min="8205" max="8205" width="10.552380952381" style="2" customWidth="1"/>
    <col min="8206" max="8206" width="11.6666666666667" style="2" customWidth="1"/>
    <col min="8207" max="8449" width="9.1047619047619" style="2"/>
    <col min="8450" max="8450" width="5.66666666666667" style="2" customWidth="1"/>
    <col min="8451" max="8451" width="10.3333333333333" style="2" customWidth="1"/>
    <col min="8452" max="8452" width="23.1047619047619" style="2" customWidth="1"/>
    <col min="8453" max="8453" width="12.3333333333333" style="2" customWidth="1"/>
    <col min="8454" max="8454" width="12.1047619047619" style="2" customWidth="1"/>
    <col min="8455" max="8455" width="13.4380952380952" style="2" customWidth="1"/>
    <col min="8456" max="8457" width="10.3333333333333" style="2" customWidth="1"/>
    <col min="8458" max="8458" width="12.8857142857143" style="2" customWidth="1"/>
    <col min="8459" max="8459" width="9.33333333333333" style="2" customWidth="1"/>
    <col min="8460" max="8460" width="8.66666666666667" style="2" customWidth="1"/>
    <col min="8461" max="8461" width="10.552380952381" style="2" customWidth="1"/>
    <col min="8462" max="8462" width="11.6666666666667" style="2" customWidth="1"/>
    <col min="8463" max="8705" width="9.1047619047619" style="2"/>
    <col min="8706" max="8706" width="5.66666666666667" style="2" customWidth="1"/>
    <col min="8707" max="8707" width="10.3333333333333" style="2" customWidth="1"/>
    <col min="8708" max="8708" width="23.1047619047619" style="2" customWidth="1"/>
    <col min="8709" max="8709" width="12.3333333333333" style="2" customWidth="1"/>
    <col min="8710" max="8710" width="12.1047619047619" style="2" customWidth="1"/>
    <col min="8711" max="8711" width="13.4380952380952" style="2" customWidth="1"/>
    <col min="8712" max="8713" width="10.3333333333333" style="2" customWidth="1"/>
    <col min="8714" max="8714" width="12.8857142857143" style="2" customWidth="1"/>
    <col min="8715" max="8715" width="9.33333333333333" style="2" customWidth="1"/>
    <col min="8716" max="8716" width="8.66666666666667" style="2" customWidth="1"/>
    <col min="8717" max="8717" width="10.552380952381" style="2" customWidth="1"/>
    <col min="8718" max="8718" width="11.6666666666667" style="2" customWidth="1"/>
    <col min="8719" max="8961" width="9.1047619047619" style="2"/>
    <col min="8962" max="8962" width="5.66666666666667" style="2" customWidth="1"/>
    <col min="8963" max="8963" width="10.3333333333333" style="2" customWidth="1"/>
    <col min="8964" max="8964" width="23.1047619047619" style="2" customWidth="1"/>
    <col min="8965" max="8965" width="12.3333333333333" style="2" customWidth="1"/>
    <col min="8966" max="8966" width="12.1047619047619" style="2" customWidth="1"/>
    <col min="8967" max="8967" width="13.4380952380952" style="2" customWidth="1"/>
    <col min="8968" max="8969" width="10.3333333333333" style="2" customWidth="1"/>
    <col min="8970" max="8970" width="12.8857142857143" style="2" customWidth="1"/>
    <col min="8971" max="8971" width="9.33333333333333" style="2" customWidth="1"/>
    <col min="8972" max="8972" width="8.66666666666667" style="2" customWidth="1"/>
    <col min="8973" max="8973" width="10.552380952381" style="2" customWidth="1"/>
    <col min="8974" max="8974" width="11.6666666666667" style="2" customWidth="1"/>
    <col min="8975" max="9217" width="9.1047619047619" style="2"/>
    <col min="9218" max="9218" width="5.66666666666667" style="2" customWidth="1"/>
    <col min="9219" max="9219" width="10.3333333333333" style="2" customWidth="1"/>
    <col min="9220" max="9220" width="23.1047619047619" style="2" customWidth="1"/>
    <col min="9221" max="9221" width="12.3333333333333" style="2" customWidth="1"/>
    <col min="9222" max="9222" width="12.1047619047619" style="2" customWidth="1"/>
    <col min="9223" max="9223" width="13.4380952380952" style="2" customWidth="1"/>
    <col min="9224" max="9225" width="10.3333333333333" style="2" customWidth="1"/>
    <col min="9226" max="9226" width="12.8857142857143" style="2" customWidth="1"/>
    <col min="9227" max="9227" width="9.33333333333333" style="2" customWidth="1"/>
    <col min="9228" max="9228" width="8.66666666666667" style="2" customWidth="1"/>
    <col min="9229" max="9229" width="10.552380952381" style="2" customWidth="1"/>
    <col min="9230" max="9230" width="11.6666666666667" style="2" customWidth="1"/>
    <col min="9231" max="9473" width="9.1047619047619" style="2"/>
    <col min="9474" max="9474" width="5.66666666666667" style="2" customWidth="1"/>
    <col min="9475" max="9475" width="10.3333333333333" style="2" customWidth="1"/>
    <col min="9476" max="9476" width="23.1047619047619" style="2" customWidth="1"/>
    <col min="9477" max="9477" width="12.3333333333333" style="2" customWidth="1"/>
    <col min="9478" max="9478" width="12.1047619047619" style="2" customWidth="1"/>
    <col min="9479" max="9479" width="13.4380952380952" style="2" customWidth="1"/>
    <col min="9480" max="9481" width="10.3333333333333" style="2" customWidth="1"/>
    <col min="9482" max="9482" width="12.8857142857143" style="2" customWidth="1"/>
    <col min="9483" max="9483" width="9.33333333333333" style="2" customWidth="1"/>
    <col min="9484" max="9484" width="8.66666666666667" style="2" customWidth="1"/>
    <col min="9485" max="9485" width="10.552380952381" style="2" customWidth="1"/>
    <col min="9486" max="9486" width="11.6666666666667" style="2" customWidth="1"/>
    <col min="9487" max="9729" width="9.1047619047619" style="2"/>
    <col min="9730" max="9730" width="5.66666666666667" style="2" customWidth="1"/>
    <col min="9731" max="9731" width="10.3333333333333" style="2" customWidth="1"/>
    <col min="9732" max="9732" width="23.1047619047619" style="2" customWidth="1"/>
    <col min="9733" max="9733" width="12.3333333333333" style="2" customWidth="1"/>
    <col min="9734" max="9734" width="12.1047619047619" style="2" customWidth="1"/>
    <col min="9735" max="9735" width="13.4380952380952" style="2" customWidth="1"/>
    <col min="9736" max="9737" width="10.3333333333333" style="2" customWidth="1"/>
    <col min="9738" max="9738" width="12.8857142857143" style="2" customWidth="1"/>
    <col min="9739" max="9739" width="9.33333333333333" style="2" customWidth="1"/>
    <col min="9740" max="9740" width="8.66666666666667" style="2" customWidth="1"/>
    <col min="9741" max="9741" width="10.552380952381" style="2" customWidth="1"/>
    <col min="9742" max="9742" width="11.6666666666667" style="2" customWidth="1"/>
    <col min="9743" max="9985" width="9.1047619047619" style="2"/>
    <col min="9986" max="9986" width="5.66666666666667" style="2" customWidth="1"/>
    <col min="9987" max="9987" width="10.3333333333333" style="2" customWidth="1"/>
    <col min="9988" max="9988" width="23.1047619047619" style="2" customWidth="1"/>
    <col min="9989" max="9989" width="12.3333333333333" style="2" customWidth="1"/>
    <col min="9990" max="9990" width="12.1047619047619" style="2" customWidth="1"/>
    <col min="9991" max="9991" width="13.4380952380952" style="2" customWidth="1"/>
    <col min="9992" max="9993" width="10.3333333333333" style="2" customWidth="1"/>
    <col min="9994" max="9994" width="12.8857142857143" style="2" customWidth="1"/>
    <col min="9995" max="9995" width="9.33333333333333" style="2" customWidth="1"/>
    <col min="9996" max="9996" width="8.66666666666667" style="2" customWidth="1"/>
    <col min="9997" max="9997" width="10.552380952381" style="2" customWidth="1"/>
    <col min="9998" max="9998" width="11.6666666666667" style="2" customWidth="1"/>
    <col min="9999" max="10241" width="9.1047619047619" style="2"/>
    <col min="10242" max="10242" width="5.66666666666667" style="2" customWidth="1"/>
    <col min="10243" max="10243" width="10.3333333333333" style="2" customWidth="1"/>
    <col min="10244" max="10244" width="23.1047619047619" style="2" customWidth="1"/>
    <col min="10245" max="10245" width="12.3333333333333" style="2" customWidth="1"/>
    <col min="10246" max="10246" width="12.1047619047619" style="2" customWidth="1"/>
    <col min="10247" max="10247" width="13.4380952380952" style="2" customWidth="1"/>
    <col min="10248" max="10249" width="10.3333333333333" style="2" customWidth="1"/>
    <col min="10250" max="10250" width="12.8857142857143" style="2" customWidth="1"/>
    <col min="10251" max="10251" width="9.33333333333333" style="2" customWidth="1"/>
    <col min="10252" max="10252" width="8.66666666666667" style="2" customWidth="1"/>
    <col min="10253" max="10253" width="10.552380952381" style="2" customWidth="1"/>
    <col min="10254" max="10254" width="11.6666666666667" style="2" customWidth="1"/>
    <col min="10255" max="10497" width="9.1047619047619" style="2"/>
    <col min="10498" max="10498" width="5.66666666666667" style="2" customWidth="1"/>
    <col min="10499" max="10499" width="10.3333333333333" style="2" customWidth="1"/>
    <col min="10500" max="10500" width="23.1047619047619" style="2" customWidth="1"/>
    <col min="10501" max="10501" width="12.3333333333333" style="2" customWidth="1"/>
    <col min="10502" max="10502" width="12.1047619047619" style="2" customWidth="1"/>
    <col min="10503" max="10503" width="13.4380952380952" style="2" customWidth="1"/>
    <col min="10504" max="10505" width="10.3333333333333" style="2" customWidth="1"/>
    <col min="10506" max="10506" width="12.8857142857143" style="2" customWidth="1"/>
    <col min="10507" max="10507" width="9.33333333333333" style="2" customWidth="1"/>
    <col min="10508" max="10508" width="8.66666666666667" style="2" customWidth="1"/>
    <col min="10509" max="10509" width="10.552380952381" style="2" customWidth="1"/>
    <col min="10510" max="10510" width="11.6666666666667" style="2" customWidth="1"/>
    <col min="10511" max="10753" width="9.1047619047619" style="2"/>
    <col min="10754" max="10754" width="5.66666666666667" style="2" customWidth="1"/>
    <col min="10755" max="10755" width="10.3333333333333" style="2" customWidth="1"/>
    <col min="10756" max="10756" width="23.1047619047619" style="2" customWidth="1"/>
    <col min="10757" max="10757" width="12.3333333333333" style="2" customWidth="1"/>
    <col min="10758" max="10758" width="12.1047619047619" style="2" customWidth="1"/>
    <col min="10759" max="10759" width="13.4380952380952" style="2" customWidth="1"/>
    <col min="10760" max="10761" width="10.3333333333333" style="2" customWidth="1"/>
    <col min="10762" max="10762" width="12.8857142857143" style="2" customWidth="1"/>
    <col min="10763" max="10763" width="9.33333333333333" style="2" customWidth="1"/>
    <col min="10764" max="10764" width="8.66666666666667" style="2" customWidth="1"/>
    <col min="10765" max="10765" width="10.552380952381" style="2" customWidth="1"/>
    <col min="10766" max="10766" width="11.6666666666667" style="2" customWidth="1"/>
    <col min="10767" max="11009" width="9.1047619047619" style="2"/>
    <col min="11010" max="11010" width="5.66666666666667" style="2" customWidth="1"/>
    <col min="11011" max="11011" width="10.3333333333333" style="2" customWidth="1"/>
    <col min="11012" max="11012" width="23.1047619047619" style="2" customWidth="1"/>
    <col min="11013" max="11013" width="12.3333333333333" style="2" customWidth="1"/>
    <col min="11014" max="11014" width="12.1047619047619" style="2" customWidth="1"/>
    <col min="11015" max="11015" width="13.4380952380952" style="2" customWidth="1"/>
    <col min="11016" max="11017" width="10.3333333333333" style="2" customWidth="1"/>
    <col min="11018" max="11018" width="12.8857142857143" style="2" customWidth="1"/>
    <col min="11019" max="11019" width="9.33333333333333" style="2" customWidth="1"/>
    <col min="11020" max="11020" width="8.66666666666667" style="2" customWidth="1"/>
    <col min="11021" max="11021" width="10.552380952381" style="2" customWidth="1"/>
    <col min="11022" max="11022" width="11.6666666666667" style="2" customWidth="1"/>
    <col min="11023" max="11265" width="9.1047619047619" style="2"/>
    <col min="11266" max="11266" width="5.66666666666667" style="2" customWidth="1"/>
    <col min="11267" max="11267" width="10.3333333333333" style="2" customWidth="1"/>
    <col min="11268" max="11268" width="23.1047619047619" style="2" customWidth="1"/>
    <col min="11269" max="11269" width="12.3333333333333" style="2" customWidth="1"/>
    <col min="11270" max="11270" width="12.1047619047619" style="2" customWidth="1"/>
    <col min="11271" max="11271" width="13.4380952380952" style="2" customWidth="1"/>
    <col min="11272" max="11273" width="10.3333333333333" style="2" customWidth="1"/>
    <col min="11274" max="11274" width="12.8857142857143" style="2" customWidth="1"/>
    <col min="11275" max="11275" width="9.33333333333333" style="2" customWidth="1"/>
    <col min="11276" max="11276" width="8.66666666666667" style="2" customWidth="1"/>
    <col min="11277" max="11277" width="10.552380952381" style="2" customWidth="1"/>
    <col min="11278" max="11278" width="11.6666666666667" style="2" customWidth="1"/>
    <col min="11279" max="11521" width="9.1047619047619" style="2"/>
    <col min="11522" max="11522" width="5.66666666666667" style="2" customWidth="1"/>
    <col min="11523" max="11523" width="10.3333333333333" style="2" customWidth="1"/>
    <col min="11524" max="11524" width="23.1047619047619" style="2" customWidth="1"/>
    <col min="11525" max="11525" width="12.3333333333333" style="2" customWidth="1"/>
    <col min="11526" max="11526" width="12.1047619047619" style="2" customWidth="1"/>
    <col min="11527" max="11527" width="13.4380952380952" style="2" customWidth="1"/>
    <col min="11528" max="11529" width="10.3333333333333" style="2" customWidth="1"/>
    <col min="11530" max="11530" width="12.8857142857143" style="2" customWidth="1"/>
    <col min="11531" max="11531" width="9.33333333333333" style="2" customWidth="1"/>
    <col min="11532" max="11532" width="8.66666666666667" style="2" customWidth="1"/>
    <col min="11533" max="11533" width="10.552380952381" style="2" customWidth="1"/>
    <col min="11534" max="11534" width="11.6666666666667" style="2" customWidth="1"/>
    <col min="11535" max="11777" width="9.1047619047619" style="2"/>
    <col min="11778" max="11778" width="5.66666666666667" style="2" customWidth="1"/>
    <col min="11779" max="11779" width="10.3333333333333" style="2" customWidth="1"/>
    <col min="11780" max="11780" width="23.1047619047619" style="2" customWidth="1"/>
    <col min="11781" max="11781" width="12.3333333333333" style="2" customWidth="1"/>
    <col min="11782" max="11782" width="12.1047619047619" style="2" customWidth="1"/>
    <col min="11783" max="11783" width="13.4380952380952" style="2" customWidth="1"/>
    <col min="11784" max="11785" width="10.3333333333333" style="2" customWidth="1"/>
    <col min="11786" max="11786" width="12.8857142857143" style="2" customWidth="1"/>
    <col min="11787" max="11787" width="9.33333333333333" style="2" customWidth="1"/>
    <col min="11788" max="11788" width="8.66666666666667" style="2" customWidth="1"/>
    <col min="11789" max="11789" width="10.552380952381" style="2" customWidth="1"/>
    <col min="11790" max="11790" width="11.6666666666667" style="2" customWidth="1"/>
    <col min="11791" max="12033" width="9.1047619047619" style="2"/>
    <col min="12034" max="12034" width="5.66666666666667" style="2" customWidth="1"/>
    <col min="12035" max="12035" width="10.3333333333333" style="2" customWidth="1"/>
    <col min="12036" max="12036" width="23.1047619047619" style="2" customWidth="1"/>
    <col min="12037" max="12037" width="12.3333333333333" style="2" customWidth="1"/>
    <col min="12038" max="12038" width="12.1047619047619" style="2" customWidth="1"/>
    <col min="12039" max="12039" width="13.4380952380952" style="2" customWidth="1"/>
    <col min="12040" max="12041" width="10.3333333333333" style="2" customWidth="1"/>
    <col min="12042" max="12042" width="12.8857142857143" style="2" customWidth="1"/>
    <col min="12043" max="12043" width="9.33333333333333" style="2" customWidth="1"/>
    <col min="12044" max="12044" width="8.66666666666667" style="2" customWidth="1"/>
    <col min="12045" max="12045" width="10.552380952381" style="2" customWidth="1"/>
    <col min="12046" max="12046" width="11.6666666666667" style="2" customWidth="1"/>
    <col min="12047" max="12289" width="9.1047619047619" style="2"/>
    <col min="12290" max="12290" width="5.66666666666667" style="2" customWidth="1"/>
    <col min="12291" max="12291" width="10.3333333333333" style="2" customWidth="1"/>
    <col min="12292" max="12292" width="23.1047619047619" style="2" customWidth="1"/>
    <col min="12293" max="12293" width="12.3333333333333" style="2" customWidth="1"/>
    <col min="12294" max="12294" width="12.1047619047619" style="2" customWidth="1"/>
    <col min="12295" max="12295" width="13.4380952380952" style="2" customWidth="1"/>
    <col min="12296" max="12297" width="10.3333333333333" style="2" customWidth="1"/>
    <col min="12298" max="12298" width="12.8857142857143" style="2" customWidth="1"/>
    <col min="12299" max="12299" width="9.33333333333333" style="2" customWidth="1"/>
    <col min="12300" max="12300" width="8.66666666666667" style="2" customWidth="1"/>
    <col min="12301" max="12301" width="10.552380952381" style="2" customWidth="1"/>
    <col min="12302" max="12302" width="11.6666666666667" style="2" customWidth="1"/>
    <col min="12303" max="12545" width="9.1047619047619" style="2"/>
    <col min="12546" max="12546" width="5.66666666666667" style="2" customWidth="1"/>
    <col min="12547" max="12547" width="10.3333333333333" style="2" customWidth="1"/>
    <col min="12548" max="12548" width="23.1047619047619" style="2" customWidth="1"/>
    <col min="12549" max="12549" width="12.3333333333333" style="2" customWidth="1"/>
    <col min="12550" max="12550" width="12.1047619047619" style="2" customWidth="1"/>
    <col min="12551" max="12551" width="13.4380952380952" style="2" customWidth="1"/>
    <col min="12552" max="12553" width="10.3333333333333" style="2" customWidth="1"/>
    <col min="12554" max="12554" width="12.8857142857143" style="2" customWidth="1"/>
    <col min="12555" max="12555" width="9.33333333333333" style="2" customWidth="1"/>
    <col min="12556" max="12556" width="8.66666666666667" style="2" customWidth="1"/>
    <col min="12557" max="12557" width="10.552380952381" style="2" customWidth="1"/>
    <col min="12558" max="12558" width="11.6666666666667" style="2" customWidth="1"/>
    <col min="12559" max="12801" width="9.1047619047619" style="2"/>
    <col min="12802" max="12802" width="5.66666666666667" style="2" customWidth="1"/>
    <col min="12803" max="12803" width="10.3333333333333" style="2" customWidth="1"/>
    <col min="12804" max="12804" width="23.1047619047619" style="2" customWidth="1"/>
    <col min="12805" max="12805" width="12.3333333333333" style="2" customWidth="1"/>
    <col min="12806" max="12806" width="12.1047619047619" style="2" customWidth="1"/>
    <col min="12807" max="12807" width="13.4380952380952" style="2" customWidth="1"/>
    <col min="12808" max="12809" width="10.3333333333333" style="2" customWidth="1"/>
    <col min="12810" max="12810" width="12.8857142857143" style="2" customWidth="1"/>
    <col min="12811" max="12811" width="9.33333333333333" style="2" customWidth="1"/>
    <col min="12812" max="12812" width="8.66666666666667" style="2" customWidth="1"/>
    <col min="12813" max="12813" width="10.552380952381" style="2" customWidth="1"/>
    <col min="12814" max="12814" width="11.6666666666667" style="2" customWidth="1"/>
    <col min="12815" max="13057" width="9.1047619047619" style="2"/>
    <col min="13058" max="13058" width="5.66666666666667" style="2" customWidth="1"/>
    <col min="13059" max="13059" width="10.3333333333333" style="2" customWidth="1"/>
    <col min="13060" max="13060" width="23.1047619047619" style="2" customWidth="1"/>
    <col min="13061" max="13061" width="12.3333333333333" style="2" customWidth="1"/>
    <col min="13062" max="13062" width="12.1047619047619" style="2" customWidth="1"/>
    <col min="13063" max="13063" width="13.4380952380952" style="2" customWidth="1"/>
    <col min="13064" max="13065" width="10.3333333333333" style="2" customWidth="1"/>
    <col min="13066" max="13066" width="12.8857142857143" style="2" customWidth="1"/>
    <col min="13067" max="13067" width="9.33333333333333" style="2" customWidth="1"/>
    <col min="13068" max="13068" width="8.66666666666667" style="2" customWidth="1"/>
    <col min="13069" max="13069" width="10.552380952381" style="2" customWidth="1"/>
    <col min="13070" max="13070" width="11.6666666666667" style="2" customWidth="1"/>
    <col min="13071" max="13313" width="9.1047619047619" style="2"/>
    <col min="13314" max="13314" width="5.66666666666667" style="2" customWidth="1"/>
    <col min="13315" max="13315" width="10.3333333333333" style="2" customWidth="1"/>
    <col min="13316" max="13316" width="23.1047619047619" style="2" customWidth="1"/>
    <col min="13317" max="13317" width="12.3333333333333" style="2" customWidth="1"/>
    <col min="13318" max="13318" width="12.1047619047619" style="2" customWidth="1"/>
    <col min="13319" max="13319" width="13.4380952380952" style="2" customWidth="1"/>
    <col min="13320" max="13321" width="10.3333333333333" style="2" customWidth="1"/>
    <col min="13322" max="13322" width="12.8857142857143" style="2" customWidth="1"/>
    <col min="13323" max="13323" width="9.33333333333333" style="2" customWidth="1"/>
    <col min="13324" max="13324" width="8.66666666666667" style="2" customWidth="1"/>
    <col min="13325" max="13325" width="10.552380952381" style="2" customWidth="1"/>
    <col min="13326" max="13326" width="11.6666666666667" style="2" customWidth="1"/>
    <col min="13327" max="13569" width="9.1047619047619" style="2"/>
    <col min="13570" max="13570" width="5.66666666666667" style="2" customWidth="1"/>
    <col min="13571" max="13571" width="10.3333333333333" style="2" customWidth="1"/>
    <col min="13572" max="13572" width="23.1047619047619" style="2" customWidth="1"/>
    <col min="13573" max="13573" width="12.3333333333333" style="2" customWidth="1"/>
    <col min="13574" max="13574" width="12.1047619047619" style="2" customWidth="1"/>
    <col min="13575" max="13575" width="13.4380952380952" style="2" customWidth="1"/>
    <col min="13576" max="13577" width="10.3333333333333" style="2" customWidth="1"/>
    <col min="13578" max="13578" width="12.8857142857143" style="2" customWidth="1"/>
    <col min="13579" max="13579" width="9.33333333333333" style="2" customWidth="1"/>
    <col min="13580" max="13580" width="8.66666666666667" style="2" customWidth="1"/>
    <col min="13581" max="13581" width="10.552380952381" style="2" customWidth="1"/>
    <col min="13582" max="13582" width="11.6666666666667" style="2" customWidth="1"/>
    <col min="13583" max="13825" width="9.1047619047619" style="2"/>
    <col min="13826" max="13826" width="5.66666666666667" style="2" customWidth="1"/>
    <col min="13827" max="13827" width="10.3333333333333" style="2" customWidth="1"/>
    <col min="13828" max="13828" width="23.1047619047619" style="2" customWidth="1"/>
    <col min="13829" max="13829" width="12.3333333333333" style="2" customWidth="1"/>
    <col min="13830" max="13830" width="12.1047619047619" style="2" customWidth="1"/>
    <col min="13831" max="13831" width="13.4380952380952" style="2" customWidth="1"/>
    <col min="13832" max="13833" width="10.3333333333333" style="2" customWidth="1"/>
    <col min="13834" max="13834" width="12.8857142857143" style="2" customWidth="1"/>
    <col min="13835" max="13835" width="9.33333333333333" style="2" customWidth="1"/>
    <col min="13836" max="13836" width="8.66666666666667" style="2" customWidth="1"/>
    <col min="13837" max="13837" width="10.552380952381" style="2" customWidth="1"/>
    <col min="13838" max="13838" width="11.6666666666667" style="2" customWidth="1"/>
    <col min="13839" max="14081" width="9.1047619047619" style="2"/>
    <col min="14082" max="14082" width="5.66666666666667" style="2" customWidth="1"/>
    <col min="14083" max="14083" width="10.3333333333333" style="2" customWidth="1"/>
    <col min="14084" max="14084" width="23.1047619047619" style="2" customWidth="1"/>
    <col min="14085" max="14085" width="12.3333333333333" style="2" customWidth="1"/>
    <col min="14086" max="14086" width="12.1047619047619" style="2" customWidth="1"/>
    <col min="14087" max="14087" width="13.4380952380952" style="2" customWidth="1"/>
    <col min="14088" max="14089" width="10.3333333333333" style="2" customWidth="1"/>
    <col min="14090" max="14090" width="12.8857142857143" style="2" customWidth="1"/>
    <col min="14091" max="14091" width="9.33333333333333" style="2" customWidth="1"/>
    <col min="14092" max="14092" width="8.66666666666667" style="2" customWidth="1"/>
    <col min="14093" max="14093" width="10.552380952381" style="2" customWidth="1"/>
    <col min="14094" max="14094" width="11.6666666666667" style="2" customWidth="1"/>
    <col min="14095" max="14337" width="9.1047619047619" style="2"/>
    <col min="14338" max="14338" width="5.66666666666667" style="2" customWidth="1"/>
    <col min="14339" max="14339" width="10.3333333333333" style="2" customWidth="1"/>
    <col min="14340" max="14340" width="23.1047619047619" style="2" customWidth="1"/>
    <col min="14341" max="14341" width="12.3333333333333" style="2" customWidth="1"/>
    <col min="14342" max="14342" width="12.1047619047619" style="2" customWidth="1"/>
    <col min="14343" max="14343" width="13.4380952380952" style="2" customWidth="1"/>
    <col min="14344" max="14345" width="10.3333333333333" style="2" customWidth="1"/>
    <col min="14346" max="14346" width="12.8857142857143" style="2" customWidth="1"/>
    <col min="14347" max="14347" width="9.33333333333333" style="2" customWidth="1"/>
    <col min="14348" max="14348" width="8.66666666666667" style="2" customWidth="1"/>
    <col min="14349" max="14349" width="10.552380952381" style="2" customWidth="1"/>
    <col min="14350" max="14350" width="11.6666666666667" style="2" customWidth="1"/>
    <col min="14351" max="14593" width="9.1047619047619" style="2"/>
    <col min="14594" max="14594" width="5.66666666666667" style="2" customWidth="1"/>
    <col min="14595" max="14595" width="10.3333333333333" style="2" customWidth="1"/>
    <col min="14596" max="14596" width="23.1047619047619" style="2" customWidth="1"/>
    <col min="14597" max="14597" width="12.3333333333333" style="2" customWidth="1"/>
    <col min="14598" max="14598" width="12.1047619047619" style="2" customWidth="1"/>
    <col min="14599" max="14599" width="13.4380952380952" style="2" customWidth="1"/>
    <col min="14600" max="14601" width="10.3333333333333" style="2" customWidth="1"/>
    <col min="14602" max="14602" width="12.8857142857143" style="2" customWidth="1"/>
    <col min="14603" max="14603" width="9.33333333333333" style="2" customWidth="1"/>
    <col min="14604" max="14604" width="8.66666666666667" style="2" customWidth="1"/>
    <col min="14605" max="14605" width="10.552380952381" style="2" customWidth="1"/>
    <col min="14606" max="14606" width="11.6666666666667" style="2" customWidth="1"/>
    <col min="14607" max="14849" width="9.1047619047619" style="2"/>
    <col min="14850" max="14850" width="5.66666666666667" style="2" customWidth="1"/>
    <col min="14851" max="14851" width="10.3333333333333" style="2" customWidth="1"/>
    <col min="14852" max="14852" width="23.1047619047619" style="2" customWidth="1"/>
    <col min="14853" max="14853" width="12.3333333333333" style="2" customWidth="1"/>
    <col min="14854" max="14854" width="12.1047619047619" style="2" customWidth="1"/>
    <col min="14855" max="14855" width="13.4380952380952" style="2" customWidth="1"/>
    <col min="14856" max="14857" width="10.3333333333333" style="2" customWidth="1"/>
    <col min="14858" max="14858" width="12.8857142857143" style="2" customWidth="1"/>
    <col min="14859" max="14859" width="9.33333333333333" style="2" customWidth="1"/>
    <col min="14860" max="14860" width="8.66666666666667" style="2" customWidth="1"/>
    <col min="14861" max="14861" width="10.552380952381" style="2" customWidth="1"/>
    <col min="14862" max="14862" width="11.6666666666667" style="2" customWidth="1"/>
    <col min="14863" max="15105" width="9.1047619047619" style="2"/>
    <col min="15106" max="15106" width="5.66666666666667" style="2" customWidth="1"/>
    <col min="15107" max="15107" width="10.3333333333333" style="2" customWidth="1"/>
    <col min="15108" max="15108" width="23.1047619047619" style="2" customWidth="1"/>
    <col min="15109" max="15109" width="12.3333333333333" style="2" customWidth="1"/>
    <col min="15110" max="15110" width="12.1047619047619" style="2" customWidth="1"/>
    <col min="15111" max="15111" width="13.4380952380952" style="2" customWidth="1"/>
    <col min="15112" max="15113" width="10.3333333333333" style="2" customWidth="1"/>
    <col min="15114" max="15114" width="12.8857142857143" style="2" customWidth="1"/>
    <col min="15115" max="15115" width="9.33333333333333" style="2" customWidth="1"/>
    <col min="15116" max="15116" width="8.66666666666667" style="2" customWidth="1"/>
    <col min="15117" max="15117" width="10.552380952381" style="2" customWidth="1"/>
    <col min="15118" max="15118" width="11.6666666666667" style="2" customWidth="1"/>
    <col min="15119" max="15361" width="9.1047619047619" style="2"/>
    <col min="15362" max="15362" width="5.66666666666667" style="2" customWidth="1"/>
    <col min="15363" max="15363" width="10.3333333333333" style="2" customWidth="1"/>
    <col min="15364" max="15364" width="23.1047619047619" style="2" customWidth="1"/>
    <col min="15365" max="15365" width="12.3333333333333" style="2" customWidth="1"/>
    <col min="15366" max="15366" width="12.1047619047619" style="2" customWidth="1"/>
    <col min="15367" max="15367" width="13.4380952380952" style="2" customWidth="1"/>
    <col min="15368" max="15369" width="10.3333333333333" style="2" customWidth="1"/>
    <col min="15370" max="15370" width="12.8857142857143" style="2" customWidth="1"/>
    <col min="15371" max="15371" width="9.33333333333333" style="2" customWidth="1"/>
    <col min="15372" max="15372" width="8.66666666666667" style="2" customWidth="1"/>
    <col min="15373" max="15373" width="10.552380952381" style="2" customWidth="1"/>
    <col min="15374" max="15374" width="11.6666666666667" style="2" customWidth="1"/>
    <col min="15375" max="15617" width="9.1047619047619" style="2"/>
    <col min="15618" max="15618" width="5.66666666666667" style="2" customWidth="1"/>
    <col min="15619" max="15619" width="10.3333333333333" style="2" customWidth="1"/>
    <col min="15620" max="15620" width="23.1047619047619" style="2" customWidth="1"/>
    <col min="15621" max="15621" width="12.3333333333333" style="2" customWidth="1"/>
    <col min="15622" max="15622" width="12.1047619047619" style="2" customWidth="1"/>
    <col min="15623" max="15623" width="13.4380952380952" style="2" customWidth="1"/>
    <col min="15624" max="15625" width="10.3333333333333" style="2" customWidth="1"/>
    <col min="15626" max="15626" width="12.8857142857143" style="2" customWidth="1"/>
    <col min="15627" max="15627" width="9.33333333333333" style="2" customWidth="1"/>
    <col min="15628" max="15628" width="8.66666666666667" style="2" customWidth="1"/>
    <col min="15629" max="15629" width="10.552380952381" style="2" customWidth="1"/>
    <col min="15630" max="15630" width="11.6666666666667" style="2" customWidth="1"/>
    <col min="15631" max="15873" width="9.1047619047619" style="2"/>
    <col min="15874" max="15874" width="5.66666666666667" style="2" customWidth="1"/>
    <col min="15875" max="15875" width="10.3333333333333" style="2" customWidth="1"/>
    <col min="15876" max="15876" width="23.1047619047619" style="2" customWidth="1"/>
    <col min="15877" max="15877" width="12.3333333333333" style="2" customWidth="1"/>
    <col min="15878" max="15878" width="12.1047619047619" style="2" customWidth="1"/>
    <col min="15879" max="15879" width="13.4380952380952" style="2" customWidth="1"/>
    <col min="15880" max="15881" width="10.3333333333333" style="2" customWidth="1"/>
    <col min="15882" max="15882" width="12.8857142857143" style="2" customWidth="1"/>
    <col min="15883" max="15883" width="9.33333333333333" style="2" customWidth="1"/>
    <col min="15884" max="15884" width="8.66666666666667" style="2" customWidth="1"/>
    <col min="15885" max="15885" width="10.552380952381" style="2" customWidth="1"/>
    <col min="15886" max="15886" width="11.6666666666667" style="2" customWidth="1"/>
    <col min="15887" max="16129" width="9.1047619047619" style="2"/>
    <col min="16130" max="16130" width="5.66666666666667" style="2" customWidth="1"/>
    <col min="16131" max="16131" width="10.3333333333333" style="2" customWidth="1"/>
    <col min="16132" max="16132" width="23.1047619047619" style="2" customWidth="1"/>
    <col min="16133" max="16133" width="12.3333333333333" style="2" customWidth="1"/>
    <col min="16134" max="16134" width="12.1047619047619" style="2" customWidth="1"/>
    <col min="16135" max="16135" width="13.4380952380952" style="2" customWidth="1"/>
    <col min="16136" max="16137" width="10.3333333333333" style="2" customWidth="1"/>
    <col min="16138" max="16138" width="12.8857142857143" style="2" customWidth="1"/>
    <col min="16139" max="16139" width="9.33333333333333" style="2" customWidth="1"/>
    <col min="16140" max="16140" width="8.66666666666667" style="2" customWidth="1"/>
    <col min="16141" max="16141" width="10.552380952381" style="2" customWidth="1"/>
    <col min="16142" max="16142" width="11.6666666666667" style="2" customWidth="1"/>
    <col min="16143" max="16384" width="9.1047619047619" style="2"/>
  </cols>
  <sheetData>
    <row r="1" spans="1:14">
      <c r="A1" s="2" t="s">
        <v>0</v>
      </c>
      <c r="C1" s="5" t="s">
        <v>1</v>
      </c>
      <c r="D1" s="2" t="s">
        <v>2</v>
      </c>
      <c r="E1" s="2"/>
      <c r="F1" s="5" t="s">
        <v>3</v>
      </c>
      <c r="G1" s="5"/>
      <c r="H1" s="5"/>
      <c r="I1" s="5"/>
      <c r="J1" s="2"/>
      <c r="L1" s="16"/>
      <c r="M1" s="17"/>
      <c r="N1" s="17"/>
    </row>
    <row r="2" spans="1:14">
      <c r="A2" s="2" t="s">
        <v>4</v>
      </c>
      <c r="C2" s="5" t="s">
        <v>5</v>
      </c>
      <c r="D2" s="2" t="s">
        <v>6</v>
      </c>
      <c r="E2" s="2"/>
      <c r="F2" s="6">
        <f>'Rera Sold units'!N2</f>
        <v>45394</v>
      </c>
      <c r="G2" s="6"/>
      <c r="H2" s="6"/>
      <c r="I2" s="6"/>
      <c r="J2" s="2"/>
      <c r="L2" s="16"/>
      <c r="M2" s="17"/>
      <c r="N2" s="17"/>
    </row>
    <row r="3" spans="1:14">
      <c r="A3" s="2" t="s">
        <v>482</v>
      </c>
      <c r="D3" s="2" t="s">
        <v>483</v>
      </c>
      <c r="E3" s="2"/>
      <c r="F3" s="6" t="str">
        <f>'Rera Sold units'!N3</f>
        <v>Apr-23 to Mar-24</v>
      </c>
      <c r="G3" s="6"/>
      <c r="H3" s="6"/>
      <c r="I3" s="6"/>
      <c r="J3" s="2"/>
      <c r="L3" s="16"/>
      <c r="M3" s="17"/>
      <c r="N3" s="17"/>
    </row>
    <row r="4" spans="4:14">
      <c r="D4" s="5"/>
      <c r="E4" s="2"/>
      <c r="F4" s="2"/>
      <c r="G4" s="2"/>
      <c r="H4" s="2"/>
      <c r="I4" s="2"/>
      <c r="J4" s="2"/>
      <c r="K4" s="6"/>
      <c r="L4" s="16"/>
      <c r="M4" s="17"/>
      <c r="N4" s="17"/>
    </row>
    <row r="5" spans="1:10">
      <c r="A5" s="2" t="s">
        <v>484</v>
      </c>
      <c r="D5" s="4"/>
      <c r="E5" s="4"/>
      <c r="F5" s="4"/>
      <c r="G5" s="4"/>
      <c r="H5" s="4"/>
      <c r="I5" s="4"/>
      <c r="J5" s="4"/>
    </row>
    <row r="6" s="1" customFormat="1" ht="63.75" spans="1:14">
      <c r="A6" s="7" t="s">
        <v>10</v>
      </c>
      <c r="B6" s="7" t="s">
        <v>485</v>
      </c>
      <c r="C6" s="7" t="s">
        <v>486</v>
      </c>
      <c r="D6" s="8" t="s">
        <v>487</v>
      </c>
      <c r="E6" s="8" t="s">
        <v>488</v>
      </c>
      <c r="F6" s="8" t="s">
        <v>489</v>
      </c>
      <c r="G6" s="8" t="s">
        <v>490</v>
      </c>
      <c r="H6" s="8" t="s">
        <v>491</v>
      </c>
      <c r="I6" s="8" t="s">
        <v>492</v>
      </c>
      <c r="J6" s="8" t="s">
        <v>493</v>
      </c>
      <c r="K6" s="7" t="s">
        <v>494</v>
      </c>
      <c r="L6" s="7" t="s">
        <v>495</v>
      </c>
      <c r="M6" s="8" t="s">
        <v>496</v>
      </c>
      <c r="N6" s="18"/>
    </row>
    <row r="7" spans="1:13">
      <c r="A7" s="5">
        <v>1</v>
      </c>
      <c r="B7" s="5" t="s">
        <v>497</v>
      </c>
      <c r="C7" s="9" t="s">
        <v>498</v>
      </c>
      <c r="D7" s="4">
        <v>45000000</v>
      </c>
      <c r="E7" s="4">
        <f>D7-36776541</f>
        <v>8223459</v>
      </c>
      <c r="F7" s="4">
        <f>18194002.95-4011837</f>
        <v>14182165.95</v>
      </c>
      <c r="G7" s="4">
        <f>23471619-1086311</f>
        <v>22385308</v>
      </c>
      <c r="H7" s="4">
        <v>209067</v>
      </c>
      <c r="I7" s="4">
        <v>0</v>
      </c>
      <c r="J7" s="4">
        <f>D7-E7-F7-G7-H7-I7</f>
        <v>0.0500000007450581</v>
      </c>
      <c r="K7" s="19">
        <v>43687</v>
      </c>
      <c r="L7" s="20">
        <v>45026</v>
      </c>
      <c r="M7" s="4">
        <v>1000000</v>
      </c>
    </row>
    <row r="8" spans="1:13">
      <c r="A8" s="5">
        <v>2</v>
      </c>
      <c r="B8" s="5" t="s">
        <v>497</v>
      </c>
      <c r="C8" s="2" t="s">
        <v>498</v>
      </c>
      <c r="D8" s="4">
        <f>34100000+27800000+8100000</f>
        <v>70000000</v>
      </c>
      <c r="E8" s="4">
        <v>0</v>
      </c>
      <c r="F8" s="4">
        <v>0</v>
      </c>
      <c r="G8" s="4">
        <v>38381222</v>
      </c>
      <c r="H8" s="4">
        <f>199951568-167765313.06-567477+167324.94</f>
        <v>31786102.88</v>
      </c>
      <c r="I8" s="4">
        <v>0</v>
      </c>
      <c r="J8" s="4">
        <f t="shared" ref="J8:J9" si="0">D8-E8-F8-G8-H8-I8</f>
        <v>-167324.879999999</v>
      </c>
      <c r="K8" s="116" t="s">
        <v>499</v>
      </c>
      <c r="L8" s="116" t="s">
        <v>499</v>
      </c>
      <c r="M8" s="116" t="s">
        <v>499</v>
      </c>
    </row>
    <row r="9" spans="1:13">
      <c r="A9" s="5">
        <v>3</v>
      </c>
      <c r="B9" s="5" t="s">
        <v>497</v>
      </c>
      <c r="C9" s="2" t="s">
        <v>498</v>
      </c>
      <c r="D9" s="4">
        <v>80000000</v>
      </c>
      <c r="E9" s="4">
        <v>0</v>
      </c>
      <c r="F9" s="4">
        <v>0</v>
      </c>
      <c r="G9" s="4">
        <v>0</v>
      </c>
      <c r="H9" s="4">
        <v>0</v>
      </c>
      <c r="I9" s="4">
        <v>20421717.16</v>
      </c>
      <c r="J9" s="4">
        <f t="shared" si="0"/>
        <v>59578282.84</v>
      </c>
      <c r="K9" s="6"/>
      <c r="L9" s="6"/>
      <c r="M9" s="6"/>
    </row>
    <row r="10" spans="1:13">
      <c r="A10" s="5">
        <v>4</v>
      </c>
      <c r="B10" s="5" t="s">
        <v>497</v>
      </c>
      <c r="C10" s="2" t="s">
        <v>500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f>I10</f>
        <v>0</v>
      </c>
      <c r="K10" s="116" t="s">
        <v>499</v>
      </c>
      <c r="L10" s="116" t="s">
        <v>499</v>
      </c>
      <c r="M10" s="116" t="s">
        <v>499</v>
      </c>
    </row>
    <row r="11" spans="1:13">
      <c r="A11" s="10">
        <v>4</v>
      </c>
      <c r="B11" s="10" t="s">
        <v>501</v>
      </c>
      <c r="C11" s="11"/>
      <c r="D11" s="12">
        <f t="shared" ref="D11:J11" si="1">SUM(D7:D10)</f>
        <v>195000000</v>
      </c>
      <c r="E11" s="12">
        <f t="shared" si="1"/>
        <v>8223459</v>
      </c>
      <c r="F11" s="12">
        <f t="shared" si="1"/>
        <v>14182165.95</v>
      </c>
      <c r="G11" s="12">
        <f t="shared" si="1"/>
        <v>60766530</v>
      </c>
      <c r="H11" s="12">
        <f t="shared" si="1"/>
        <v>31995169.88</v>
      </c>
      <c r="I11" s="12">
        <f t="shared" si="1"/>
        <v>20421717.16</v>
      </c>
      <c r="J11" s="12">
        <f t="shared" si="1"/>
        <v>59410958.01</v>
      </c>
      <c r="K11" s="21"/>
      <c r="L11" s="11"/>
      <c r="M11" s="12"/>
    </row>
    <row r="12" spans="1:13">
      <c r="A12" s="5">
        <v>5</v>
      </c>
      <c r="B12" s="5" t="s">
        <v>502</v>
      </c>
      <c r="C12" s="2" t="s">
        <v>503</v>
      </c>
      <c r="D12" s="4">
        <v>10700000</v>
      </c>
      <c r="E12" s="4">
        <v>0</v>
      </c>
      <c r="F12" s="4">
        <v>0</v>
      </c>
      <c r="G12" s="4">
        <v>8275000</v>
      </c>
      <c r="H12" s="4">
        <f>2376550+48450</f>
        <v>2425000</v>
      </c>
      <c r="I12" s="4">
        <v>0</v>
      </c>
      <c r="J12" s="4">
        <f>D12-E12-F12-G12-H12</f>
        <v>0</v>
      </c>
      <c r="K12" s="116" t="s">
        <v>499</v>
      </c>
      <c r="L12" s="116" t="s">
        <v>499</v>
      </c>
      <c r="M12" s="116" t="s">
        <v>499</v>
      </c>
    </row>
    <row r="13" spans="1:13">
      <c r="A13" s="5">
        <v>6</v>
      </c>
      <c r="B13" s="5" t="s">
        <v>502</v>
      </c>
      <c r="C13" s="2" t="s">
        <v>504</v>
      </c>
      <c r="D13" s="4">
        <f>6500000+454644+53614</f>
        <v>7008258</v>
      </c>
      <c r="E13" s="4">
        <v>0</v>
      </c>
      <c r="F13" s="4">
        <v>0</v>
      </c>
      <c r="G13" s="4">
        <v>6954644</v>
      </c>
      <c r="H13" s="4">
        <v>53614</v>
      </c>
      <c r="I13" s="4">
        <v>0</v>
      </c>
      <c r="J13" s="4">
        <f>D13-E13-F13-G13-H13</f>
        <v>0</v>
      </c>
      <c r="K13" s="116" t="s">
        <v>499</v>
      </c>
      <c r="L13" s="116" t="s">
        <v>499</v>
      </c>
      <c r="M13" s="116" t="s">
        <v>499</v>
      </c>
    </row>
    <row r="14" spans="1:13">
      <c r="A14" s="5">
        <v>7</v>
      </c>
      <c r="B14" s="5" t="s">
        <v>502</v>
      </c>
      <c r="C14" s="2" t="s">
        <v>505</v>
      </c>
      <c r="D14" s="4">
        <v>1488682</v>
      </c>
      <c r="E14" s="4">
        <v>0</v>
      </c>
      <c r="F14" s="4">
        <v>0</v>
      </c>
      <c r="G14" s="4">
        <f>89700-27890.34</f>
        <v>61809.66</v>
      </c>
      <c r="H14" s="4">
        <f>368752-99514</f>
        <v>269238</v>
      </c>
      <c r="I14" s="4">
        <f>1157634-870039.34</f>
        <v>287594.66</v>
      </c>
      <c r="J14" s="4">
        <f>D14-E14-F14-G14-H14-I14</f>
        <v>870039.68</v>
      </c>
      <c r="K14" s="116" t="s">
        <v>499</v>
      </c>
      <c r="L14" s="116" t="s">
        <v>499</v>
      </c>
      <c r="M14" s="116" t="s">
        <v>499</v>
      </c>
    </row>
    <row r="15" spans="1:13">
      <c r="A15" s="5">
        <v>8</v>
      </c>
      <c r="B15" s="5" t="s">
        <v>502</v>
      </c>
      <c r="C15" s="2" t="s">
        <v>506</v>
      </c>
      <c r="D15" s="4">
        <v>550000</v>
      </c>
      <c r="E15" s="4">
        <v>0</v>
      </c>
      <c r="F15" s="4">
        <v>0</v>
      </c>
      <c r="G15" s="4">
        <v>0</v>
      </c>
      <c r="H15" s="4">
        <f>129806-41864.55</f>
        <v>87941.45</v>
      </c>
      <c r="I15" s="4">
        <f>462059-359448.03</f>
        <v>102610.97</v>
      </c>
      <c r="J15" s="4">
        <f>D15-E15-F15-G15-H15-I15</f>
        <v>359447.58</v>
      </c>
      <c r="K15" s="116" t="s">
        <v>499</v>
      </c>
      <c r="L15" s="116" t="s">
        <v>499</v>
      </c>
      <c r="M15" s="116" t="s">
        <v>499</v>
      </c>
    </row>
    <row r="16" spans="1:13">
      <c r="A16" s="5">
        <v>9</v>
      </c>
      <c r="B16" s="5" t="s">
        <v>502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f>D16-E16-F16-G16</f>
        <v>0</v>
      </c>
      <c r="K16" s="116" t="s">
        <v>499</v>
      </c>
      <c r="L16" s="116" t="s">
        <v>499</v>
      </c>
      <c r="M16" s="116" t="s">
        <v>499</v>
      </c>
    </row>
    <row r="17" spans="1:13">
      <c r="A17" s="10">
        <v>10</v>
      </c>
      <c r="B17" s="10" t="s">
        <v>507</v>
      </c>
      <c r="C17" s="11"/>
      <c r="D17" s="12">
        <f t="shared" ref="D17:J17" si="2">SUM(D12:D16)</f>
        <v>19746940</v>
      </c>
      <c r="E17" s="12">
        <f t="shared" si="2"/>
        <v>0</v>
      </c>
      <c r="F17" s="12">
        <f t="shared" si="2"/>
        <v>0</v>
      </c>
      <c r="G17" s="12">
        <f t="shared" si="2"/>
        <v>15291453.66</v>
      </c>
      <c r="H17" s="12">
        <f t="shared" si="2"/>
        <v>2835793.45</v>
      </c>
      <c r="I17" s="12">
        <f t="shared" si="2"/>
        <v>390205.63</v>
      </c>
      <c r="J17" s="12">
        <f t="shared" si="2"/>
        <v>1229487.26</v>
      </c>
      <c r="K17" s="21"/>
      <c r="L17" s="11"/>
      <c r="M17" s="12"/>
    </row>
    <row r="18" spans="1:13">
      <c r="A18" s="13">
        <v>11</v>
      </c>
      <c r="B18" s="13" t="s">
        <v>19</v>
      </c>
      <c r="C18" s="14"/>
      <c r="D18" s="15">
        <f t="shared" ref="D18:J18" si="3">D11+D17</f>
        <v>214746940</v>
      </c>
      <c r="E18" s="15">
        <f t="shared" si="3"/>
        <v>8223459</v>
      </c>
      <c r="F18" s="15">
        <f t="shared" si="3"/>
        <v>14182165.95</v>
      </c>
      <c r="G18" s="15">
        <f t="shared" si="3"/>
        <v>76057983.66</v>
      </c>
      <c r="H18" s="15">
        <f t="shared" si="3"/>
        <v>34830963.33</v>
      </c>
      <c r="I18" s="15">
        <f t="shared" si="3"/>
        <v>20811922.79</v>
      </c>
      <c r="J18" s="15">
        <f t="shared" si="3"/>
        <v>60640445.27</v>
      </c>
      <c r="K18" s="22"/>
      <c r="L18" s="14"/>
      <c r="M18" s="15"/>
    </row>
  </sheetData>
  <printOptions gridLines="1"/>
  <pageMargins left="0.511805555555556" right="0.295138888888889" top="0.747916666666667" bottom="0.747916666666667" header="0.314583333333333" footer="0.314583333333333"/>
  <pageSetup paperSize="9" scale="85" orientation="landscape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Workings</vt:lpstr>
      <vt:lpstr>Sheet2</vt:lpstr>
      <vt:lpstr>Rera Sold units</vt:lpstr>
      <vt:lpstr>Promotors contribution</vt:lpstr>
      <vt:lpstr>Loan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Accts</dc:creator>
  <cp:lastModifiedBy>Rajyalakshmi</cp:lastModifiedBy>
  <dcterms:created xsi:type="dcterms:W3CDTF">2022-07-11T11:47:00Z</dcterms:created>
  <cp:lastPrinted>2022-11-25T09:38:00Z</cp:lastPrinted>
  <dcterms:modified xsi:type="dcterms:W3CDTF">2024-04-12T08:36:21Z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899ECFE660EA401EBCFA8138EC0EC98E_13</vt:lpwstr>
  </property>
  <property fmtid="{D5CDD505-2E9C-101B-9397-08002B2CF9AE}" pid="3" name="KSOProductBuildVer">
    <vt:lpwstr>1033-12.2.0.16731</vt:lpwstr>
  </property>
</Properties>
</file>