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20" firstSheet="1" activeTab="2"/>
  </bookViews>
  <sheets>
    <sheet name="ICICI Os &amp; Kotak Take over" sheetId="1" state="hidden" r:id="rId1"/>
    <sheet name="Kotak - TL Repayment Schedule" sheetId="2" r:id="rId2"/>
    <sheet name="Sheet1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<sst xmlns="http://schemas.openxmlformats.org/spreadsheetml/2006/main" count="67" uniqueCount="48">
  <si>
    <t>GVRC outstandings including interest upto 26.09.2024</t>
  </si>
  <si>
    <t>TL-1</t>
  </si>
  <si>
    <t>TL-2</t>
  </si>
  <si>
    <t>TL-3</t>
  </si>
  <si>
    <t>Total</t>
  </si>
  <si>
    <t>Loan-wise outstandings - 31.08.2024</t>
  </si>
  <si>
    <t>Interest Upto 27.09.2024</t>
  </si>
  <si>
    <t>Total loan closure amount</t>
  </si>
  <si>
    <t xml:space="preserve">Kotak Take over </t>
  </si>
  <si>
    <t>Interest for 5 days 25 to 29th  @ 9.30%</t>
  </si>
  <si>
    <t>Interest charged by bank</t>
  </si>
  <si>
    <t>Short Collected</t>
  </si>
  <si>
    <t>Account No.0552TL0100001327</t>
  </si>
  <si>
    <t>Loan Amount</t>
  </si>
  <si>
    <t>Account No.0552TL01000013278</t>
  </si>
  <si>
    <t>Account No.0552TL01000013279</t>
  </si>
  <si>
    <t>GVRC  - Kotak Bank Loan details</t>
  </si>
  <si>
    <t>Opening balance</t>
  </si>
  <si>
    <t>Instalments</t>
  </si>
  <si>
    <t>Interest</t>
  </si>
  <si>
    <t xml:space="preserve">Principal </t>
  </si>
  <si>
    <t>Closing balance</t>
  </si>
  <si>
    <t>v</t>
  </si>
  <si>
    <t>Subject: GV Research Centers Pvt Ltd-Kotak Mahindra Bank loan Rs.80cr</t>
  </si>
  <si>
    <t>Prepared by :Naveen.G</t>
  </si>
  <si>
    <t>Date:09-01-2025</t>
  </si>
  <si>
    <t>Sl.no</t>
  </si>
  <si>
    <t xml:space="preserve">Facility </t>
  </si>
  <si>
    <t>Limit in Rs.</t>
  </si>
  <si>
    <t>Take over - ICICI Loan</t>
  </si>
  <si>
    <t>Term Loan IV</t>
  </si>
  <si>
    <t>OD - drop line</t>
  </si>
  <si>
    <t>Clean OD</t>
  </si>
  <si>
    <t>*Note: Difference is due to interest component. Interest part is not considered at the time of take over.</t>
  </si>
  <si>
    <t>Disbursement details of Term loan-IV</t>
  </si>
  <si>
    <t>Date</t>
  </si>
  <si>
    <t>Particulars</t>
  </si>
  <si>
    <t>Amount</t>
  </si>
  <si>
    <t>Reimbursement</t>
  </si>
  <si>
    <t>1st disbursement</t>
  </si>
  <si>
    <t>2nd disbursement</t>
  </si>
  <si>
    <t>3rd disbursement</t>
  </si>
  <si>
    <t>4th disbursement</t>
  </si>
  <si>
    <t>5th disbursement</t>
  </si>
  <si>
    <t>6th disbursement</t>
  </si>
  <si>
    <t>Total utilised</t>
  </si>
  <si>
    <t>Available Balance Dis.</t>
  </si>
  <si>
    <t>Withdrawal permitted upto 31.03.2025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</si>
</sst>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 * #,##0.00_ ;_ * \-#,##0.00_ ;_ * &quot;-&quot;??_ ;_ @_ "/>
    <numFmt numFmtId="177" formatCode="_ &quot;₹&quot;* #,##0.00_ ;_ &quot;₹&quot;* \-#,##0.00_ ;_ &quot;₹&quot;* &quot;-&quot;??_ ;_ @_ "/>
    <numFmt numFmtId="178" formatCode="_ * #,##0_ ;_ * \-#,##0_ ;_ * &quot;-&quot;_ ;_ @_ "/>
    <numFmt numFmtId="179" formatCode="_ &quot;₹&quot;* #,##0_ ;_ &quot;₹&quot;* \-#,##0_ ;_ &quot;₹&quot;* &quot;-&quot;_ ;_ @_ "/>
    <numFmt numFmtId="180" formatCode="_ * #,##0_ ;_ * \-#,##0_ ;_ * &quot;-&quot;??_ ;_ @_ "/>
    <numFmt numFmtId="181" formatCode="dd/mm/yyyy"/>
    <numFmt numFmtId="182" formatCode="mmm/yy"/>
  </numFmts>
  <fonts count="23">
    <font>
      <sz val="11"/>
      <color theme="1"/>
      <name val="Aptos Narrow"/>
      <charset val="134"/>
      <scheme val="minor"/>
    </font>
    <font>
      <b/>
      <sz val="11"/>
      <color theme="1"/>
      <name val="Aptos Narrow"/>
      <charset val="134"/>
      <scheme val="minor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u/>
      <sz val="11"/>
      <color rgb="FF0000FF"/>
      <name val="Aptos Narrow"/>
      <charset val="0"/>
      <scheme val="minor"/>
    </font>
    <font>
      <u/>
      <sz val="11"/>
      <color rgb="FF800080"/>
      <name val="Aptos Narrow"/>
      <charset val="0"/>
      <scheme val="minor"/>
    </font>
    <font>
      <sz val="11"/>
      <color rgb="FFFF0000"/>
      <name val="Aptos Narrow"/>
      <charset val="0"/>
      <scheme val="minor"/>
    </font>
    <font>
      <b/>
      <sz val="18"/>
      <color theme="3"/>
      <name val="Aptos Narrow"/>
      <charset val="134"/>
      <scheme val="minor"/>
    </font>
    <font>
      <i/>
      <sz val="11"/>
      <color rgb="FF7F7F7F"/>
      <name val="Aptos Narrow"/>
      <charset val="0"/>
      <scheme val="minor"/>
    </font>
    <font>
      <b/>
      <sz val="15"/>
      <color theme="3"/>
      <name val="Aptos Narrow"/>
      <charset val="134"/>
      <scheme val="minor"/>
    </font>
    <font>
      <b/>
      <sz val="13"/>
      <color theme="3"/>
      <name val="Aptos Narrow"/>
      <charset val="134"/>
      <scheme val="minor"/>
    </font>
    <font>
      <b/>
      <sz val="11"/>
      <color theme="3"/>
      <name val="Aptos Narrow"/>
      <charset val="134"/>
      <scheme val="minor"/>
    </font>
    <font>
      <sz val="11"/>
      <color rgb="FF3F3F76"/>
      <name val="Aptos Narrow"/>
      <charset val="0"/>
      <scheme val="minor"/>
    </font>
    <font>
      <b/>
      <sz val="11"/>
      <color rgb="FF3F3F3F"/>
      <name val="Aptos Narrow"/>
      <charset val="0"/>
      <scheme val="minor"/>
    </font>
    <font>
      <b/>
      <sz val="11"/>
      <color rgb="FFFA7D00"/>
      <name val="Aptos Narrow"/>
      <charset val="0"/>
      <scheme val="minor"/>
    </font>
    <font>
      <b/>
      <sz val="11"/>
      <color rgb="FFFFFFFF"/>
      <name val="Aptos Narrow"/>
      <charset val="0"/>
      <scheme val="minor"/>
    </font>
    <font>
      <sz val="11"/>
      <color rgb="FFFA7D00"/>
      <name val="Aptos Narrow"/>
      <charset val="0"/>
      <scheme val="minor"/>
    </font>
    <font>
      <b/>
      <sz val="11"/>
      <color theme="1"/>
      <name val="Aptos Narrow"/>
      <charset val="0"/>
      <scheme val="minor"/>
    </font>
    <font>
      <sz val="11"/>
      <color rgb="FF006100"/>
      <name val="Aptos Narrow"/>
      <charset val="0"/>
      <scheme val="minor"/>
    </font>
    <font>
      <sz val="11"/>
      <color rgb="FF9C0006"/>
      <name val="Aptos Narrow"/>
      <charset val="0"/>
      <scheme val="minor"/>
    </font>
    <font>
      <sz val="11"/>
      <color rgb="FF9C6500"/>
      <name val="Aptos Narrow"/>
      <charset val="0"/>
      <scheme val="minor"/>
    </font>
    <font>
      <sz val="11"/>
      <color theme="0"/>
      <name val="Aptos Narrow"/>
      <charset val="0"/>
      <scheme val="minor"/>
    </font>
    <font>
      <sz val="11"/>
      <color theme="1"/>
      <name val="Aptos Narrow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3" fillId="5" borderId="11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6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41">
    <xf numFmtId="0" fontId="0" fillId="0" borderId="0" xfId="0"/>
    <xf numFmtId="0" fontId="1" fillId="0" borderId="1" xfId="0" applyFont="1" applyBorder="1"/>
    <xf numFmtId="180" fontId="1" fillId="0" borderId="1" xfId="1" applyNumberFormat="1" applyFont="1" applyBorder="1" applyAlignment="1">
      <alignment horizontal="center"/>
    </xf>
    <xf numFmtId="0" fontId="0" fillId="0" borderId="0" xfId="0" applyAlignment="1">
      <alignment horizontal="left"/>
    </xf>
    <xf numFmtId="180" fontId="0" fillId="0" borderId="0" xfId="1" applyNumberFormat="1" applyFont="1" applyBorder="1"/>
    <xf numFmtId="0" fontId="0" fillId="0" borderId="1" xfId="0" applyBorder="1"/>
    <xf numFmtId="180" fontId="1" fillId="0" borderId="1" xfId="1" applyNumberFormat="1" applyFont="1" applyBorder="1"/>
    <xf numFmtId="0" fontId="1" fillId="0" borderId="0" xfId="0" applyFont="1"/>
    <xf numFmtId="181" fontId="0" fillId="0" borderId="0" xfId="0" applyNumberFormat="1" applyAlignment="1">
      <alignment horizontal="left"/>
    </xf>
    <xf numFmtId="180" fontId="0" fillId="0" borderId="1" xfId="1" applyNumberFormat="1" applyFont="1" applyBorder="1"/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180" fontId="1" fillId="0" borderId="0" xfId="0" applyNumberFormat="1" applyFont="1" applyAlignment="1">
      <alignment horizontal="right"/>
    </xf>
    <xf numFmtId="181" fontId="0" fillId="0" borderId="0" xfId="0" applyNumberFormat="1"/>
    <xf numFmtId="10" fontId="0" fillId="0" borderId="0" xfId="0" applyNumberFormat="1" applyAlignment="1">
      <alignment horizontal="right"/>
    </xf>
    <xf numFmtId="0" fontId="0" fillId="0" borderId="2" xfId="0" applyBorder="1"/>
    <xf numFmtId="0" fontId="1" fillId="0" borderId="2" xfId="0" applyFont="1" applyBorder="1" applyAlignment="1">
      <alignment horizontal="right"/>
    </xf>
    <xf numFmtId="182" fontId="0" fillId="0" borderId="2" xfId="0" applyNumberFormat="1" applyBorder="1"/>
    <xf numFmtId="180" fontId="0" fillId="0" borderId="2" xfId="0" applyNumberFormat="1" applyBorder="1" applyAlignment="1">
      <alignment horizontal="right"/>
    </xf>
    <xf numFmtId="180" fontId="0" fillId="2" borderId="2" xfId="0" applyNumberFormat="1" applyFill="1" applyBorder="1" applyAlignment="1">
      <alignment horizontal="right"/>
    </xf>
    <xf numFmtId="180" fontId="0" fillId="0" borderId="2" xfId="1" applyNumberFormat="1" applyFont="1" applyBorder="1" applyAlignment="1">
      <alignment horizontal="right"/>
    </xf>
    <xf numFmtId="4" fontId="0" fillId="0" borderId="2" xfId="0" applyNumberFormat="1" applyBorder="1"/>
    <xf numFmtId="0" fontId="1" fillId="0" borderId="3" xfId="0" applyFont="1" applyBorder="1" applyAlignment="1">
      <alignment horizontal="right"/>
    </xf>
    <xf numFmtId="180" fontId="0" fillId="0" borderId="3" xfId="0" applyNumberFormat="1" applyBorder="1"/>
    <xf numFmtId="180" fontId="0" fillId="2" borderId="3" xfId="0" applyNumberFormat="1" applyFill="1" applyBorder="1"/>
    <xf numFmtId="4" fontId="0" fillId="0" borderId="0" xfId="0" applyNumberFormat="1"/>
    <xf numFmtId="180" fontId="0" fillId="0" borderId="0" xfId="0" applyNumberFormat="1"/>
    <xf numFmtId="180" fontId="0" fillId="0" borderId="4" xfId="1" applyNumberFormat="1" applyFont="1" applyBorder="1"/>
    <xf numFmtId="180" fontId="0" fillId="0" borderId="0" xfId="1" applyNumberFormat="1" applyFont="1"/>
    <xf numFmtId="180" fontId="0" fillId="0" borderId="5" xfId="0" applyNumberFormat="1" applyBorder="1" applyAlignment="1">
      <alignment horizontal="right"/>
    </xf>
    <xf numFmtId="180" fontId="0" fillId="0" borderId="6" xfId="0" applyNumberFormat="1" applyBorder="1" applyAlignment="1">
      <alignment horizontal="right"/>
    </xf>
    <xf numFmtId="180" fontId="0" fillId="0" borderId="0" xfId="0" applyNumberFormat="1" applyAlignment="1">
      <alignment horizontal="right"/>
    </xf>
    <xf numFmtId="0" fontId="0" fillId="0" borderId="3" xfId="0" applyBorder="1"/>
    <xf numFmtId="180" fontId="1" fillId="0" borderId="3" xfId="0" applyNumberFormat="1" applyFont="1" applyBorder="1"/>
    <xf numFmtId="176" fontId="2" fillId="0" borderId="0" xfId="1" applyFont="1"/>
    <xf numFmtId="176" fontId="3" fillId="0" borderId="0" xfId="1" applyFont="1"/>
    <xf numFmtId="176" fontId="3" fillId="0" borderId="3" xfId="1" applyFont="1" applyBorder="1" applyAlignment="1">
      <alignment horizontal="center"/>
    </xf>
    <xf numFmtId="176" fontId="2" fillId="0" borderId="3" xfId="1" applyFont="1" applyBorder="1"/>
    <xf numFmtId="176" fontId="3" fillId="0" borderId="3" xfId="1" applyFont="1" applyBorder="1"/>
    <xf numFmtId="176" fontId="3" fillId="0" borderId="3" xfId="1" applyFont="1" applyBorder="1" applyAlignment="1">
      <alignment horizontal="right"/>
    </xf>
    <xf numFmtId="176" fontId="2" fillId="0" borderId="0" xfId="1" applyFont="1" applyAlignment="1">
      <alignment horizontal="right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E31"/>
  <sheetViews>
    <sheetView topLeftCell="A13" workbookViewId="0">
      <selection activeCell="C36" sqref="C36"/>
    </sheetView>
  </sheetViews>
  <sheetFormatPr defaultColWidth="9" defaultRowHeight="15" outlineLevelCol="4"/>
  <cols>
    <col min="1" max="1" width="33.775" style="34" customWidth="1"/>
    <col min="2" max="3" width="15.4416666666667" style="34" customWidth="1"/>
    <col min="4" max="4" width="16.4416666666667" style="34" customWidth="1"/>
    <col min="5" max="5" width="15.8833333333333" style="34" customWidth="1"/>
    <col min="6" max="16384" width="8.88333333333333" style="34"/>
  </cols>
  <sheetData>
    <row r="2" spans="1:1">
      <c r="A2" s="35" t="s">
        <v>0</v>
      </c>
    </row>
    <row r="3" spans="2:5">
      <c r="B3" s="36" t="s">
        <v>1</v>
      </c>
      <c r="C3" s="36" t="s">
        <v>2</v>
      </c>
      <c r="D3" s="36" t="s">
        <v>3</v>
      </c>
      <c r="E3" s="35" t="s">
        <v>4</v>
      </c>
    </row>
    <row r="4" spans="2:4">
      <c r="B4" s="37">
        <v>41129449</v>
      </c>
      <c r="C4" s="37">
        <v>17874783</v>
      </c>
      <c r="D4" s="37">
        <v>97378797.18</v>
      </c>
    </row>
    <row r="5" spans="2:4">
      <c r="B5" s="37">
        <v>25101865.86</v>
      </c>
      <c r="C5" s="37">
        <v>10488051</v>
      </c>
      <c r="D5" s="37">
        <v>100000000</v>
      </c>
    </row>
    <row r="6" spans="2:4">
      <c r="B6" s="37">
        <v>2514703.17</v>
      </c>
      <c r="C6" s="37">
        <v>7459032</v>
      </c>
      <c r="D6" s="37">
        <v>25000000</v>
      </c>
    </row>
    <row r="7" spans="2:4">
      <c r="B7" s="37">
        <v>4913644.22</v>
      </c>
      <c r="C7" s="37">
        <v>18883122</v>
      </c>
      <c r="D7" s="37">
        <v>50000000</v>
      </c>
    </row>
    <row r="8" spans="2:4">
      <c r="B8" s="37">
        <v>2595722.12</v>
      </c>
      <c r="C8" s="37">
        <v>2288968</v>
      </c>
      <c r="D8" s="37">
        <v>25000000</v>
      </c>
    </row>
    <row r="9" spans="2:4">
      <c r="B9" s="37">
        <v>2341177.25</v>
      </c>
      <c r="C9" s="37">
        <v>8113752</v>
      </c>
      <c r="D9" s="37"/>
    </row>
    <row r="10" spans="2:4">
      <c r="B10" s="37">
        <v>10437241.4</v>
      </c>
      <c r="C10" s="37">
        <v>6360108</v>
      </c>
      <c r="D10" s="37"/>
    </row>
    <row r="11" spans="2:4">
      <c r="B11" s="37">
        <v>10271169.69</v>
      </c>
      <c r="C11" s="37">
        <v>13665486</v>
      </c>
      <c r="D11" s="37"/>
    </row>
    <row r="12" spans="2:4">
      <c r="B12" s="37">
        <v>4039396.6</v>
      </c>
      <c r="C12" s="37">
        <v>19272280</v>
      </c>
      <c r="D12" s="37"/>
    </row>
    <row r="13" spans="2:4">
      <c r="B13" s="37">
        <v>19673400.13</v>
      </c>
      <c r="C13" s="37">
        <v>2743089</v>
      </c>
      <c r="D13" s="37"/>
    </row>
    <row r="14" spans="2:4">
      <c r="B14" s="37">
        <v>9732735.4</v>
      </c>
      <c r="C14" s="37">
        <v>6226592</v>
      </c>
      <c r="D14" s="37"/>
    </row>
    <row r="15" spans="2:4">
      <c r="B15" s="37">
        <v>7561064.06</v>
      </c>
      <c r="C15" s="37">
        <v>7552295</v>
      </c>
      <c r="D15" s="37"/>
    </row>
    <row r="16" spans="2:4">
      <c r="B16" s="37">
        <v>2381864.28</v>
      </c>
      <c r="C16" s="37">
        <v>15898475</v>
      </c>
      <c r="D16" s="37"/>
    </row>
    <row r="17" spans="2:4">
      <c r="B17" s="37">
        <v>21273795.76</v>
      </c>
      <c r="C17" s="37"/>
      <c r="D17" s="37"/>
    </row>
    <row r="18" spans="2:4">
      <c r="B18" s="37">
        <v>4134105.13</v>
      </c>
      <c r="C18" s="37"/>
      <c r="D18" s="37"/>
    </row>
    <row r="19" spans="2:4">
      <c r="B19" s="37">
        <v>12867608.43</v>
      </c>
      <c r="C19" s="37"/>
      <c r="D19" s="37"/>
    </row>
    <row r="20" spans="1:5">
      <c r="A20" s="34" t="s">
        <v>5</v>
      </c>
      <c r="B20" s="38">
        <f>SUM(B4:B19)</f>
        <v>180968942.5</v>
      </c>
      <c r="C20" s="38">
        <f>SUM(C4:C19)</f>
        <v>136826033</v>
      </c>
      <c r="D20" s="38">
        <f>SUM(D4:D19)</f>
        <v>297378797.18</v>
      </c>
      <c r="E20" s="34">
        <f>SUM(B20:D20)</f>
        <v>615173772.68</v>
      </c>
    </row>
    <row r="21" spans="1:5">
      <c r="A21" s="34" t="s">
        <v>6</v>
      </c>
      <c r="B21" s="34">
        <f>(B20*10.5%)/365*27</f>
        <v>1405608.08763699</v>
      </c>
      <c r="C21" s="34">
        <f t="shared" ref="C21:D21" si="0">(C20*10.5%)/365*27</f>
        <v>1062744.66727397</v>
      </c>
      <c r="D21" s="34">
        <f t="shared" si="0"/>
        <v>2309777.78083644</v>
      </c>
      <c r="E21" s="35">
        <f>SUM(B21:D21)</f>
        <v>4778130.5357474</v>
      </c>
    </row>
    <row r="22" spans="1:5">
      <c r="A22" s="34" t="s">
        <v>7</v>
      </c>
      <c r="B22" s="34">
        <f>B20+B21</f>
        <v>182374550.587637</v>
      </c>
      <c r="C22" s="34">
        <f>C20+C21</f>
        <v>137888777.667274</v>
      </c>
      <c r="D22" s="34">
        <f>D20+D21</f>
        <v>299688574.960836</v>
      </c>
      <c r="E22" s="34">
        <f>SUM(B22:D22)</f>
        <v>619951903.215747</v>
      </c>
    </row>
    <row r="24" spans="1:5">
      <c r="A24" s="37" t="s">
        <v>8</v>
      </c>
      <c r="B24" s="38">
        <f>B20</f>
        <v>180968942.5</v>
      </c>
      <c r="C24" s="38">
        <f t="shared" ref="C24:D24" si="1">C20</f>
        <v>136826033</v>
      </c>
      <c r="D24" s="38">
        <f t="shared" si="1"/>
        <v>297378797.18</v>
      </c>
      <c r="E24" s="37"/>
    </row>
    <row r="25" spans="1:5">
      <c r="A25" s="37" t="s">
        <v>9</v>
      </c>
      <c r="B25" s="37">
        <f>(B24*9.3%)/365*5</f>
        <v>230549.474691781</v>
      </c>
      <c r="C25" s="37">
        <f t="shared" ref="C25:D25" si="2">(C24*9.3%)/365*5</f>
        <v>174312.617383562</v>
      </c>
      <c r="D25" s="37">
        <f t="shared" si="2"/>
        <v>378852.440243014</v>
      </c>
      <c r="E25" s="37">
        <f>SUM(B25:D25)</f>
        <v>783714.532318356</v>
      </c>
    </row>
    <row r="26" spans="1:5">
      <c r="A26" s="37" t="s">
        <v>10</v>
      </c>
      <c r="B26" s="37">
        <v>229919.56</v>
      </c>
      <c r="C26" s="37">
        <v>173836.35</v>
      </c>
      <c r="D26" s="37">
        <v>377817.32</v>
      </c>
      <c r="E26" s="37">
        <f>SUM(B26:D26)</f>
        <v>781573.23</v>
      </c>
    </row>
    <row r="27" spans="1:5">
      <c r="A27" s="39" t="s">
        <v>11</v>
      </c>
      <c r="B27" s="37">
        <f>B25-B26</f>
        <v>629.914691780898</v>
      </c>
      <c r="C27" s="37">
        <f t="shared" ref="C27:E27" si="3">C25-C26</f>
        <v>476.267383561673</v>
      </c>
      <c r="D27" s="37">
        <f t="shared" si="3"/>
        <v>1035.12024301378</v>
      </c>
      <c r="E27" s="38">
        <f t="shared" si="3"/>
        <v>2141.30231835635</v>
      </c>
    </row>
    <row r="29" spans="2:2">
      <c r="B29" s="40"/>
    </row>
    <row r="30" spans="2:5">
      <c r="B30" s="37">
        <f>(B24*9.4%)/365*5</f>
        <v>233028.50130137</v>
      </c>
      <c r="C30" s="37">
        <f>(C24*9.4%)/365*5</f>
        <v>176186.94660274</v>
      </c>
      <c r="D30" s="37">
        <f>(D24*9.4%)/365*5</f>
        <v>382926.122396164</v>
      </c>
      <c r="E30" s="37">
        <f>SUM(B30:D30)</f>
        <v>792141.570300274</v>
      </c>
    </row>
    <row r="31" spans="2:2">
      <c r="B31" s="34">
        <f>B26-B30</f>
        <v>-3108.94130136984</v>
      </c>
    </row>
  </sheetData>
  <pageMargins left="0.7" right="0.7" top="0.75" bottom="0.75" header="0.3" footer="0.3"/>
  <pageSetup paperSize="1" scale="94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105"/>
  <sheetViews>
    <sheetView topLeftCell="N1" workbookViewId="0">
      <selection activeCell="AC6" sqref="AC6"/>
    </sheetView>
  </sheetViews>
  <sheetFormatPr defaultColWidth="9" defaultRowHeight="14.25"/>
  <cols>
    <col min="1" max="1" width="7.10833333333333" customWidth="1"/>
    <col min="2" max="6" width="13.6666666666667" style="10" customWidth="1"/>
    <col min="7" max="7" width="2.33333333333333" customWidth="1"/>
    <col min="8" max="8" width="11.775" customWidth="1"/>
    <col min="9" max="9" width="15.8833333333333" style="10" customWidth="1"/>
    <col min="10" max="11" width="13.6666666666667" style="10" customWidth="1"/>
    <col min="12" max="12" width="14.5583333333333" style="10" customWidth="1"/>
    <col min="13" max="13" width="16" style="10" customWidth="1"/>
    <col min="14" max="14" width="3.10833333333333" customWidth="1"/>
    <col min="15" max="15" width="11.775" customWidth="1"/>
    <col min="16" max="16" width="15.8833333333333" style="10" customWidth="1"/>
    <col min="17" max="18" width="13.6666666666667" style="10" customWidth="1"/>
    <col min="19" max="19" width="14.5583333333333" style="10" customWidth="1"/>
    <col min="20" max="20" width="16" style="10" customWidth="1"/>
    <col min="21" max="21" width="2.66666666666667" customWidth="1"/>
    <col min="22" max="22" width="15.4416666666667" customWidth="1"/>
    <col min="23" max="23" width="12.4416666666667" customWidth="1"/>
    <col min="24" max="24" width="12.5583333333333" customWidth="1"/>
    <col min="25" max="25" width="12.775" customWidth="1"/>
    <col min="26" max="26" width="14.4416666666667" customWidth="1"/>
    <col min="27" max="27" width="17.1083333333333" customWidth="1"/>
    <col min="28" max="29" width="13.4416666666667" customWidth="1"/>
    <col min="30" max="31" width="11.4416666666667" customWidth="1"/>
  </cols>
  <sheetData>
    <row r="1" ht="15" spans="1:26">
      <c r="A1" s="7" t="s">
        <v>12</v>
      </c>
      <c r="D1" s="11" t="s">
        <v>13</v>
      </c>
      <c r="E1" s="12">
        <v>297378797.18</v>
      </c>
      <c r="H1" s="7" t="s">
        <v>14</v>
      </c>
      <c r="K1" s="11" t="s">
        <v>13</v>
      </c>
      <c r="L1" s="12">
        <v>180968942.5</v>
      </c>
      <c r="O1" s="7" t="s">
        <v>15</v>
      </c>
      <c r="R1" s="11" t="s">
        <v>13</v>
      </c>
      <c r="S1" s="12">
        <v>136826033</v>
      </c>
      <c r="V1" s="7" t="s">
        <v>16</v>
      </c>
      <c r="Z1" s="26">
        <f>S1+L1+E1</f>
        <v>615173772.68</v>
      </c>
    </row>
    <row r="2" spans="2:18">
      <c r="B2" s="13">
        <v>45560</v>
      </c>
      <c r="D2" s="14">
        <v>0.093</v>
      </c>
      <c r="H2" s="13"/>
      <c r="K2" s="14">
        <v>0.093</v>
      </c>
      <c r="O2" s="13"/>
      <c r="R2" s="14">
        <v>0.093</v>
      </c>
    </row>
    <row r="3" ht="15" spans="1:26">
      <c r="A3" s="15"/>
      <c r="B3" s="16" t="s">
        <v>17</v>
      </c>
      <c r="C3" s="16" t="s">
        <v>18</v>
      </c>
      <c r="D3" s="16" t="s">
        <v>19</v>
      </c>
      <c r="E3" s="16" t="s">
        <v>20</v>
      </c>
      <c r="F3" s="16" t="s">
        <v>21</v>
      </c>
      <c r="H3" s="15"/>
      <c r="I3" s="16" t="s">
        <v>17</v>
      </c>
      <c r="J3" s="16" t="s">
        <v>18</v>
      </c>
      <c r="K3" s="16" t="s">
        <v>19</v>
      </c>
      <c r="L3" s="16" t="s">
        <v>20</v>
      </c>
      <c r="M3" s="16" t="s">
        <v>21</v>
      </c>
      <c r="O3" s="15"/>
      <c r="P3" s="16" t="s">
        <v>17</v>
      </c>
      <c r="Q3" s="16" t="s">
        <v>18</v>
      </c>
      <c r="R3" s="16" t="s">
        <v>19</v>
      </c>
      <c r="S3" s="16" t="s">
        <v>20</v>
      </c>
      <c r="T3" s="16" t="s">
        <v>21</v>
      </c>
      <c r="V3" s="22" t="s">
        <v>17</v>
      </c>
      <c r="W3" s="22" t="s">
        <v>18</v>
      </c>
      <c r="X3" s="22" t="s">
        <v>19</v>
      </c>
      <c r="Y3" s="22" t="s">
        <v>20</v>
      </c>
      <c r="Z3" s="22" t="s">
        <v>21</v>
      </c>
    </row>
    <row r="4" spans="1:29">
      <c r="A4" s="17">
        <v>45536</v>
      </c>
      <c r="B4" s="18">
        <f>E1</f>
        <v>297378797.18</v>
      </c>
      <c r="C4" s="18">
        <v>1191279.32</v>
      </c>
      <c r="D4" s="19">
        <v>377817.32</v>
      </c>
      <c r="E4" s="18">
        <f>C4-D4</f>
        <v>813462</v>
      </c>
      <c r="F4" s="18">
        <f>B4-E4</f>
        <v>296565335.18</v>
      </c>
      <c r="H4" s="17">
        <v>45536</v>
      </c>
      <c r="I4" s="18">
        <f>'ICICI Os &amp; Kotak Take over'!B20</f>
        <v>180968942.5</v>
      </c>
      <c r="J4" s="21">
        <v>1768420.56</v>
      </c>
      <c r="K4" s="19">
        <v>229919.56</v>
      </c>
      <c r="L4" s="18">
        <f>J4-K4</f>
        <v>1538501</v>
      </c>
      <c r="M4" s="18">
        <f>I4-L4</f>
        <v>179430441.5</v>
      </c>
      <c r="O4" s="17">
        <v>45536</v>
      </c>
      <c r="P4" s="18">
        <f>S1</f>
        <v>136826033</v>
      </c>
      <c r="Q4" s="21">
        <v>872813.35</v>
      </c>
      <c r="R4" s="19">
        <v>173836.35</v>
      </c>
      <c r="S4" s="18">
        <f>Q4-R4</f>
        <v>698977</v>
      </c>
      <c r="T4" s="18">
        <f>P4-S4</f>
        <v>136127056</v>
      </c>
      <c r="V4" s="23">
        <f>B4+I4+P4</f>
        <v>615173772.68</v>
      </c>
      <c r="W4" s="24">
        <f t="shared" ref="W4:Z4" si="0">C4+J4+Q4</f>
        <v>3832513.23</v>
      </c>
      <c r="X4" s="23">
        <f t="shared" si="0"/>
        <v>781573.23</v>
      </c>
      <c r="Y4" s="23">
        <f t="shared" si="0"/>
        <v>3050940</v>
      </c>
      <c r="Z4" s="23">
        <f t="shared" si="0"/>
        <v>612122832.68</v>
      </c>
      <c r="AA4" s="26">
        <f>Z1-Y4</f>
        <v>612122832.68</v>
      </c>
      <c r="AB4" s="26"/>
      <c r="AC4" s="26"/>
    </row>
    <row r="5" spans="1:31">
      <c r="A5" s="17">
        <f>A4+30</f>
        <v>45566</v>
      </c>
      <c r="B5" s="18">
        <f>F4</f>
        <v>296565335.18</v>
      </c>
      <c r="C5" s="19">
        <f>2260702.97+819224</f>
        <v>3079926.97</v>
      </c>
      <c r="D5" s="19">
        <v>2260702.97</v>
      </c>
      <c r="E5" s="18">
        <f t="shared" ref="E5:E25" si="1">C5-D5</f>
        <v>819224</v>
      </c>
      <c r="F5" s="18">
        <f t="shared" ref="F5:F25" si="2">B5-E5</f>
        <v>295746111.18</v>
      </c>
      <c r="H5" s="17">
        <f>H4+30</f>
        <v>45566</v>
      </c>
      <c r="I5" s="18">
        <f>M4</f>
        <v>179430441.5</v>
      </c>
      <c r="J5" s="21">
        <f>K5+L5</f>
        <v>2962011.41</v>
      </c>
      <c r="K5" s="19">
        <v>1413382.41</v>
      </c>
      <c r="L5" s="19">
        <v>1548629</v>
      </c>
      <c r="M5" s="18">
        <f t="shared" ref="M5:M68" si="3">I5-L5</f>
        <v>177881812.5</v>
      </c>
      <c r="O5" s="17">
        <f>O4+30</f>
        <v>45566</v>
      </c>
      <c r="P5" s="18">
        <f>T4</f>
        <v>136127056</v>
      </c>
      <c r="Q5" s="25">
        <f>R5+S5</f>
        <v>1775265.52</v>
      </c>
      <c r="R5" s="19">
        <v>1072279.52</v>
      </c>
      <c r="S5" s="18">
        <v>702986</v>
      </c>
      <c r="T5" s="18">
        <f t="shared" ref="T5:T68" si="4">P5-S5</f>
        <v>135424070</v>
      </c>
      <c r="V5" s="23">
        <f t="shared" ref="V5:V68" si="5">B5+I5+P5</f>
        <v>612122832.68</v>
      </c>
      <c r="W5" s="24">
        <f t="shared" ref="W5:W68" si="6">C5+J5+Q5</f>
        <v>7817203.9</v>
      </c>
      <c r="X5" s="23">
        <f t="shared" ref="X5:X68" si="7">D5+K5+R5</f>
        <v>4746364.9</v>
      </c>
      <c r="Y5" s="23">
        <f t="shared" ref="Y5:Y68" si="8">E5+L5+S5</f>
        <v>3070839</v>
      </c>
      <c r="Z5" s="23">
        <f t="shared" ref="Z5:Z68" si="9">F5+M5+T5</f>
        <v>609051993.68</v>
      </c>
      <c r="AA5" s="26">
        <f>AA4-Y5</f>
        <v>609051993.68</v>
      </c>
      <c r="AB5" s="26">
        <f>X5</f>
        <v>4746364.9</v>
      </c>
      <c r="AC5" s="26">
        <f>Y5</f>
        <v>3070839</v>
      </c>
      <c r="AD5" s="27">
        <v>4743951.95327</v>
      </c>
      <c r="AE5" s="28">
        <v>4554943.57673</v>
      </c>
    </row>
    <row r="6" spans="1:27">
      <c r="A6" s="17">
        <f t="shared" ref="A6:A37" si="10">A5+31</f>
        <v>45597</v>
      </c>
      <c r="B6" s="18">
        <f t="shared" ref="B6:B69" si="11">F5</f>
        <v>295746111.18</v>
      </c>
      <c r="C6" s="18">
        <v>3154841.23</v>
      </c>
      <c r="D6" s="18">
        <f t="shared" ref="D6:D25" si="12">(B6*$D$2)/12</f>
        <v>2292032.361645</v>
      </c>
      <c r="E6" s="18">
        <f t="shared" si="1"/>
        <v>862808.868355</v>
      </c>
      <c r="F6" s="18">
        <f t="shared" si="2"/>
        <v>294883302.311645</v>
      </c>
      <c r="H6" s="17">
        <f t="shared" ref="H6:H37" si="13">H5+31</f>
        <v>45597</v>
      </c>
      <c r="I6" s="18">
        <f t="shared" ref="I6:I69" si="14">M5</f>
        <v>177881812.5</v>
      </c>
      <c r="J6" s="21">
        <v>3650643.94</v>
      </c>
      <c r="K6" s="18">
        <f t="shared" ref="K6:K69" si="15">(I6*$D$2)/12</f>
        <v>1378584.046875</v>
      </c>
      <c r="L6" s="18">
        <f t="shared" ref="L6:L68" si="16">J6-K6</f>
        <v>2272059.893125</v>
      </c>
      <c r="M6" s="18">
        <f t="shared" si="3"/>
        <v>175609752.606875</v>
      </c>
      <c r="O6" s="17">
        <f t="shared" ref="O6:O37" si="17">O5+31</f>
        <v>45597</v>
      </c>
      <c r="P6" s="18">
        <f t="shared" ref="P6:P69" si="18">T5</f>
        <v>135424070</v>
      </c>
      <c r="Q6" s="25">
        <v>2459683.18</v>
      </c>
      <c r="R6" s="18">
        <f t="shared" ref="R6:R69" si="19">(P6*$D$2)/12</f>
        <v>1049536.5425</v>
      </c>
      <c r="S6" s="18">
        <f t="shared" ref="S6:S68" si="20">Q6-R6</f>
        <v>1410146.6375</v>
      </c>
      <c r="T6" s="18">
        <f t="shared" si="4"/>
        <v>134013923.3625</v>
      </c>
      <c r="V6" s="23">
        <f t="shared" si="5"/>
        <v>609051993.68</v>
      </c>
      <c r="W6" s="24">
        <v>7808998</v>
      </c>
      <c r="X6" s="23">
        <f t="shared" si="7"/>
        <v>4720152.95102</v>
      </c>
      <c r="Y6" s="23">
        <v>3070839</v>
      </c>
      <c r="Z6" s="23">
        <f>Z5-W6</f>
        <v>601242995.68</v>
      </c>
      <c r="AA6" s="26">
        <f>AA5-Y6</f>
        <v>605981154.68</v>
      </c>
    </row>
    <row r="7" spans="1:29">
      <c r="A7" s="17">
        <f t="shared" si="10"/>
        <v>45628</v>
      </c>
      <c r="B7" s="18">
        <f t="shared" si="11"/>
        <v>294883302.311645</v>
      </c>
      <c r="C7" s="18">
        <f>2248168.92+830871</f>
        <v>3079039.92</v>
      </c>
      <c r="D7" s="18">
        <f t="shared" si="12"/>
        <v>2285345.59291525</v>
      </c>
      <c r="E7" s="18">
        <f t="shared" si="1"/>
        <v>793694.327084751</v>
      </c>
      <c r="F7" s="18">
        <f t="shared" si="2"/>
        <v>294089607.98456</v>
      </c>
      <c r="H7" s="17">
        <f t="shared" si="13"/>
        <v>45628</v>
      </c>
      <c r="I7" s="18">
        <f t="shared" si="14"/>
        <v>175609752.606875</v>
      </c>
      <c r="J7" s="21">
        <v>3677532.11</v>
      </c>
      <c r="K7" s="18">
        <f t="shared" si="15"/>
        <v>1360975.58270328</v>
      </c>
      <c r="L7" s="18">
        <f t="shared" si="16"/>
        <v>2316556.52729672</v>
      </c>
      <c r="M7" s="18">
        <f t="shared" si="3"/>
        <v>173293196.079578</v>
      </c>
      <c r="O7" s="17">
        <f t="shared" si="17"/>
        <v>45628</v>
      </c>
      <c r="P7" s="18">
        <f t="shared" si="18"/>
        <v>134013923.3625</v>
      </c>
      <c r="Q7" s="25">
        <v>2482621.58</v>
      </c>
      <c r="R7" s="18">
        <f t="shared" si="19"/>
        <v>1038607.90605938</v>
      </c>
      <c r="S7" s="18">
        <f t="shared" si="20"/>
        <v>1444013.67394063</v>
      </c>
      <c r="T7" s="18">
        <f t="shared" si="4"/>
        <v>132569909.688559</v>
      </c>
      <c r="V7" s="23">
        <f t="shared" si="5"/>
        <v>604506978.28102</v>
      </c>
      <c r="W7" s="23">
        <f t="shared" si="6"/>
        <v>9239193.61</v>
      </c>
      <c r="X7" s="23">
        <f t="shared" si="7"/>
        <v>4684929.08167791</v>
      </c>
      <c r="Y7" s="23">
        <f t="shared" si="8"/>
        <v>4554264.5283221</v>
      </c>
      <c r="Z7" s="23">
        <f t="shared" si="9"/>
        <v>599952713.752698</v>
      </c>
      <c r="AC7" s="26">
        <f>AE5-AC5</f>
        <v>1484104.57673</v>
      </c>
    </row>
    <row r="8" spans="1:27">
      <c r="A8" s="17">
        <f t="shared" si="10"/>
        <v>45659</v>
      </c>
      <c r="B8" s="18">
        <f t="shared" si="11"/>
        <v>294089607.98456</v>
      </c>
      <c r="C8" s="18">
        <f>2322711.47+1811975</f>
        <v>4134686.47</v>
      </c>
      <c r="D8" s="18">
        <f t="shared" si="12"/>
        <v>2279194.46188034</v>
      </c>
      <c r="E8" s="18">
        <f t="shared" si="1"/>
        <v>1855492.00811966</v>
      </c>
      <c r="F8" s="18">
        <f t="shared" si="2"/>
        <v>292234115.976441</v>
      </c>
      <c r="H8" s="17">
        <f t="shared" si="13"/>
        <v>45659</v>
      </c>
      <c r="I8" s="18">
        <f t="shared" si="14"/>
        <v>173293196.079578</v>
      </c>
      <c r="J8" s="21">
        <v>3663015.06</v>
      </c>
      <c r="K8" s="18">
        <f t="shared" si="15"/>
        <v>1343022.26961673</v>
      </c>
      <c r="L8" s="18">
        <f t="shared" si="16"/>
        <v>2319992.79038327</v>
      </c>
      <c r="M8" s="18">
        <f t="shared" si="3"/>
        <v>170973203.289195</v>
      </c>
      <c r="O8" s="17">
        <f t="shared" si="17"/>
        <v>45659</v>
      </c>
      <c r="P8" s="18">
        <f t="shared" si="18"/>
        <v>132569909.688559</v>
      </c>
      <c r="Q8" s="25">
        <v>2474087.63</v>
      </c>
      <c r="R8" s="18">
        <f t="shared" si="19"/>
        <v>1027416.80008634</v>
      </c>
      <c r="S8" s="18">
        <f t="shared" si="20"/>
        <v>1446670.82991366</v>
      </c>
      <c r="T8" s="18">
        <f t="shared" si="4"/>
        <v>131123238.858646</v>
      </c>
      <c r="V8" s="23">
        <f t="shared" si="5"/>
        <v>599952713.752698</v>
      </c>
      <c r="W8" s="23">
        <f t="shared" si="6"/>
        <v>10271789.16</v>
      </c>
      <c r="X8" s="23">
        <f t="shared" si="7"/>
        <v>4649633.53158341</v>
      </c>
      <c r="Y8" s="23">
        <f t="shared" si="8"/>
        <v>5622155.62841659</v>
      </c>
      <c r="Z8" s="23">
        <f t="shared" si="9"/>
        <v>594330558.124281</v>
      </c>
      <c r="AA8" t="s">
        <v>22</v>
      </c>
    </row>
    <row r="9" spans="1:26">
      <c r="A9" s="17">
        <f t="shared" si="10"/>
        <v>45690</v>
      </c>
      <c r="B9" s="18">
        <f t="shared" si="11"/>
        <v>292234115.976441</v>
      </c>
      <c r="C9" s="18">
        <f>3984927.6</f>
        <v>3984927.6</v>
      </c>
      <c r="D9" s="18">
        <f t="shared" si="12"/>
        <v>2264814.39881741</v>
      </c>
      <c r="E9" s="18">
        <f t="shared" si="1"/>
        <v>1720113.20118259</v>
      </c>
      <c r="F9" s="18">
        <f t="shared" si="2"/>
        <v>290514002.775258</v>
      </c>
      <c r="H9" s="17">
        <f t="shared" si="13"/>
        <v>45690</v>
      </c>
      <c r="I9" s="18">
        <f t="shared" si="14"/>
        <v>170973203.289195</v>
      </c>
      <c r="J9" s="21">
        <v>3514845.08</v>
      </c>
      <c r="K9" s="18">
        <f t="shared" si="15"/>
        <v>1325042.32549126</v>
      </c>
      <c r="L9" s="18">
        <f t="shared" si="16"/>
        <v>2189802.75450874</v>
      </c>
      <c r="M9" s="18">
        <f t="shared" si="3"/>
        <v>168783400.534686</v>
      </c>
      <c r="O9" s="17">
        <f t="shared" si="17"/>
        <v>45690</v>
      </c>
      <c r="P9" s="18">
        <f t="shared" si="18"/>
        <v>131123238.858646</v>
      </c>
      <c r="Q9" s="25">
        <v>2363189.24</v>
      </c>
      <c r="R9" s="18">
        <f t="shared" si="19"/>
        <v>1016205.1011545</v>
      </c>
      <c r="S9" s="18">
        <f t="shared" si="20"/>
        <v>1346984.1388455</v>
      </c>
      <c r="T9" s="18">
        <f t="shared" si="4"/>
        <v>129776254.7198</v>
      </c>
      <c r="V9" s="23">
        <f t="shared" si="5"/>
        <v>594330558.124281</v>
      </c>
      <c r="W9" s="23">
        <f t="shared" si="6"/>
        <v>9862961.92</v>
      </c>
      <c r="X9" s="23">
        <f t="shared" si="7"/>
        <v>4606061.82546318</v>
      </c>
      <c r="Y9" s="23">
        <f t="shared" si="8"/>
        <v>5256900.09453682</v>
      </c>
      <c r="Z9" s="23">
        <f t="shared" si="9"/>
        <v>589073658.029745</v>
      </c>
    </row>
    <row r="10" spans="1:26">
      <c r="A10" s="17">
        <f t="shared" si="10"/>
        <v>45721</v>
      </c>
      <c r="B10" s="18">
        <f t="shared" si="11"/>
        <v>290514002.775258</v>
      </c>
      <c r="C10" s="18">
        <f>2220178.26+1837736</f>
        <v>4057914.26</v>
      </c>
      <c r="D10" s="18">
        <f t="shared" si="12"/>
        <v>2251483.52150825</v>
      </c>
      <c r="E10" s="18">
        <f t="shared" si="1"/>
        <v>1806430.73849175</v>
      </c>
      <c r="F10" s="18">
        <f t="shared" si="2"/>
        <v>288707572.036766</v>
      </c>
      <c r="H10" s="17">
        <f t="shared" si="13"/>
        <v>45721</v>
      </c>
      <c r="I10" s="18">
        <f t="shared" si="14"/>
        <v>168783400.534686</v>
      </c>
      <c r="J10" s="21">
        <v>3626795.3</v>
      </c>
      <c r="K10" s="18">
        <f t="shared" si="15"/>
        <v>1308071.35414382</v>
      </c>
      <c r="L10" s="18">
        <f t="shared" si="16"/>
        <v>2318723.94585618</v>
      </c>
      <c r="M10" s="18">
        <f t="shared" si="3"/>
        <v>166464676.58883</v>
      </c>
      <c r="O10" s="17">
        <f t="shared" si="17"/>
        <v>45721</v>
      </c>
      <c r="P10" s="18">
        <f t="shared" si="18"/>
        <v>129776254.7198</v>
      </c>
      <c r="Q10" s="25">
        <v>2451543.25</v>
      </c>
      <c r="R10" s="18">
        <f t="shared" si="19"/>
        <v>1005765.97407845</v>
      </c>
      <c r="S10" s="18">
        <f t="shared" si="20"/>
        <v>1445777.27592155</v>
      </c>
      <c r="T10" s="18">
        <f t="shared" si="4"/>
        <v>128330477.443879</v>
      </c>
      <c r="V10" s="23">
        <f t="shared" si="5"/>
        <v>589073658.029745</v>
      </c>
      <c r="W10" s="23">
        <f t="shared" si="6"/>
        <v>10136252.81</v>
      </c>
      <c r="X10" s="23">
        <f t="shared" si="7"/>
        <v>4565320.84973052</v>
      </c>
      <c r="Y10" s="23">
        <f t="shared" si="8"/>
        <v>5570931.96026948</v>
      </c>
      <c r="Z10" s="23">
        <f t="shared" si="9"/>
        <v>583502726.069475</v>
      </c>
    </row>
    <row r="11" spans="1:26">
      <c r="A11" s="17">
        <f t="shared" si="10"/>
        <v>45752</v>
      </c>
      <c r="B11" s="18">
        <f t="shared" si="11"/>
        <v>288707572.036766</v>
      </c>
      <c r="C11" s="18">
        <f>4130889.35</f>
        <v>4130889.35</v>
      </c>
      <c r="D11" s="18">
        <f t="shared" si="12"/>
        <v>2237483.68328494</v>
      </c>
      <c r="E11" s="18">
        <f t="shared" si="1"/>
        <v>1893405.66671506</v>
      </c>
      <c r="F11" s="18">
        <f t="shared" si="2"/>
        <v>286814166.370051</v>
      </c>
      <c r="H11" s="17">
        <f t="shared" si="13"/>
        <v>45752</v>
      </c>
      <c r="I11" s="18">
        <f t="shared" si="14"/>
        <v>166464676.58883</v>
      </c>
      <c r="J11" s="21">
        <v>3566424.24</v>
      </c>
      <c r="K11" s="18">
        <f t="shared" si="15"/>
        <v>1290101.24356343</v>
      </c>
      <c r="L11" s="18">
        <f t="shared" si="16"/>
        <v>2276322.99643657</v>
      </c>
      <c r="M11" s="18">
        <f t="shared" si="3"/>
        <v>164188353.592394</v>
      </c>
      <c r="O11" s="17">
        <f t="shared" si="17"/>
        <v>45752</v>
      </c>
      <c r="P11" s="18">
        <f t="shared" si="18"/>
        <v>128330477.443879</v>
      </c>
      <c r="Q11" s="25">
        <v>2407731.35</v>
      </c>
      <c r="R11" s="18">
        <f t="shared" si="19"/>
        <v>994561.200190059</v>
      </c>
      <c r="S11" s="18">
        <f t="shared" si="20"/>
        <v>1413170.14980994</v>
      </c>
      <c r="T11" s="18">
        <f t="shared" si="4"/>
        <v>126917307.294069</v>
      </c>
      <c r="V11" s="23">
        <f t="shared" si="5"/>
        <v>583502726.069475</v>
      </c>
      <c r="W11" s="23">
        <f t="shared" si="6"/>
        <v>10105044.94</v>
      </c>
      <c r="X11" s="23">
        <f t="shared" si="7"/>
        <v>4522146.12703843</v>
      </c>
      <c r="Y11" s="23">
        <f t="shared" si="8"/>
        <v>5582898.81296157</v>
      </c>
      <c r="Z11" s="23">
        <f t="shared" si="9"/>
        <v>577919827.256513</v>
      </c>
    </row>
    <row r="12" spans="1:26">
      <c r="A12" s="17">
        <f t="shared" si="10"/>
        <v>45783</v>
      </c>
      <c r="B12" s="18">
        <f t="shared" si="11"/>
        <v>286814166.370051</v>
      </c>
      <c r="C12" s="18">
        <f>2191984.05+1863863</f>
        <v>4055847.05</v>
      </c>
      <c r="D12" s="18">
        <f t="shared" si="12"/>
        <v>2222809.7893679</v>
      </c>
      <c r="E12" s="18">
        <f t="shared" si="1"/>
        <v>1833037.2606321</v>
      </c>
      <c r="F12" s="18">
        <f t="shared" si="2"/>
        <v>284981129.109419</v>
      </c>
      <c r="H12" s="17">
        <f t="shared" si="13"/>
        <v>45783</v>
      </c>
      <c r="I12" s="18">
        <f t="shared" si="14"/>
        <v>164188353.592394</v>
      </c>
      <c r="J12" s="21">
        <v>3590455.44</v>
      </c>
      <c r="K12" s="18">
        <f t="shared" si="15"/>
        <v>1272459.74034105</v>
      </c>
      <c r="L12" s="18">
        <f t="shared" si="16"/>
        <v>2317995.69965895</v>
      </c>
      <c r="M12" s="18">
        <f t="shared" si="3"/>
        <v>161870357.892735</v>
      </c>
      <c r="O12" s="17">
        <f t="shared" si="17"/>
        <v>45783</v>
      </c>
      <c r="P12" s="18">
        <f t="shared" si="18"/>
        <v>126917307.294069</v>
      </c>
      <c r="Q12" s="25">
        <v>2428907.1</v>
      </c>
      <c r="R12" s="18">
        <f t="shared" si="19"/>
        <v>983609.131529033</v>
      </c>
      <c r="S12" s="18">
        <f t="shared" si="20"/>
        <v>1445297.96847097</v>
      </c>
      <c r="T12" s="18">
        <f t="shared" si="4"/>
        <v>125472009.325598</v>
      </c>
      <c r="V12" s="23">
        <f t="shared" si="5"/>
        <v>577919827.256513</v>
      </c>
      <c r="W12" s="23">
        <f t="shared" si="6"/>
        <v>10075209.59</v>
      </c>
      <c r="X12" s="23">
        <f t="shared" si="7"/>
        <v>4478878.66123798</v>
      </c>
      <c r="Y12" s="23">
        <f t="shared" si="8"/>
        <v>5596330.92876202</v>
      </c>
      <c r="Z12" s="23">
        <f t="shared" si="9"/>
        <v>572323496.327751</v>
      </c>
    </row>
    <row r="13" spans="1:26">
      <c r="A13" s="17">
        <f t="shared" si="10"/>
        <v>45814</v>
      </c>
      <c r="B13" s="18">
        <f t="shared" si="11"/>
        <v>284981129.109419</v>
      </c>
      <c r="C13" s="18">
        <f>4127868.13</f>
        <v>4127868.13</v>
      </c>
      <c r="D13" s="18">
        <f t="shared" si="12"/>
        <v>2208603.750598</v>
      </c>
      <c r="E13" s="18">
        <f t="shared" si="1"/>
        <v>1919264.379402</v>
      </c>
      <c r="F13" s="18">
        <f t="shared" si="2"/>
        <v>283061864.730017</v>
      </c>
      <c r="H13" s="17">
        <f t="shared" si="13"/>
        <v>45814</v>
      </c>
      <c r="I13" s="18">
        <f t="shared" si="14"/>
        <v>161870357.892735</v>
      </c>
      <c r="J13" s="21">
        <v>3531256.63</v>
      </c>
      <c r="K13" s="18">
        <f t="shared" si="15"/>
        <v>1254495.27366869</v>
      </c>
      <c r="L13" s="18">
        <f t="shared" si="16"/>
        <v>2276761.35633131</v>
      </c>
      <c r="M13" s="18">
        <f t="shared" si="3"/>
        <v>159593596.536403</v>
      </c>
      <c r="O13" s="17">
        <f t="shared" si="17"/>
        <v>45814</v>
      </c>
      <c r="P13" s="18">
        <f t="shared" si="18"/>
        <v>125472009.325598</v>
      </c>
      <c r="Q13" s="25">
        <v>2385825.39</v>
      </c>
      <c r="R13" s="18">
        <f t="shared" si="19"/>
        <v>972408.072273383</v>
      </c>
      <c r="S13" s="18">
        <f t="shared" si="20"/>
        <v>1413417.31772662</v>
      </c>
      <c r="T13" s="18">
        <f t="shared" si="4"/>
        <v>124058592.007871</v>
      </c>
      <c r="V13" s="23">
        <f t="shared" si="5"/>
        <v>572323496.327751</v>
      </c>
      <c r="W13" s="23">
        <f t="shared" si="6"/>
        <v>10044950.15</v>
      </c>
      <c r="X13" s="23">
        <f t="shared" si="7"/>
        <v>4435507.09654007</v>
      </c>
      <c r="Y13" s="23">
        <f t="shared" si="8"/>
        <v>5609443.05345993</v>
      </c>
      <c r="Z13" s="23">
        <f t="shared" si="9"/>
        <v>566714053.274291</v>
      </c>
    </row>
    <row r="14" spans="1:26">
      <c r="A14" s="17">
        <f t="shared" si="10"/>
        <v>45845</v>
      </c>
      <c r="B14" s="18">
        <f t="shared" si="11"/>
        <v>283061864.730017</v>
      </c>
      <c r="C14" s="18">
        <f>2163389.02+1890361</f>
        <v>4053750.02</v>
      </c>
      <c r="D14" s="18">
        <f t="shared" si="12"/>
        <v>2193729.45165763</v>
      </c>
      <c r="E14" s="18">
        <f t="shared" si="1"/>
        <v>1860020.56834237</v>
      </c>
      <c r="F14" s="18">
        <f t="shared" si="2"/>
        <v>281201844.161675</v>
      </c>
      <c r="H14" s="17">
        <f t="shared" si="13"/>
        <v>45845</v>
      </c>
      <c r="I14" s="18">
        <f t="shared" si="14"/>
        <v>159593596.536403</v>
      </c>
      <c r="J14" s="21">
        <v>3554115.57</v>
      </c>
      <c r="K14" s="18">
        <f t="shared" si="15"/>
        <v>1236850.37315713</v>
      </c>
      <c r="L14" s="18">
        <f t="shared" si="16"/>
        <v>2317265.19684287</v>
      </c>
      <c r="M14" s="18">
        <f t="shared" si="3"/>
        <v>157276331.33956</v>
      </c>
      <c r="O14" s="17">
        <f t="shared" si="17"/>
        <v>45845</v>
      </c>
      <c r="P14" s="18">
        <f t="shared" si="18"/>
        <v>124058592.007871</v>
      </c>
      <c r="Q14" s="25">
        <v>2406270.95</v>
      </c>
      <c r="R14" s="18">
        <f t="shared" si="19"/>
        <v>961454.088061001</v>
      </c>
      <c r="S14" s="18">
        <f t="shared" si="20"/>
        <v>1444816.861939</v>
      </c>
      <c r="T14" s="18">
        <f t="shared" si="4"/>
        <v>122613775.145932</v>
      </c>
      <c r="V14" s="23">
        <f t="shared" si="5"/>
        <v>566714053.274291</v>
      </c>
      <c r="W14" s="23">
        <f t="shared" si="6"/>
        <v>10014136.54</v>
      </c>
      <c r="X14" s="23">
        <f t="shared" si="7"/>
        <v>4392033.91287576</v>
      </c>
      <c r="Y14" s="23">
        <f t="shared" si="8"/>
        <v>5622102.62712424</v>
      </c>
      <c r="Z14" s="23">
        <f t="shared" si="9"/>
        <v>561091950.647167</v>
      </c>
    </row>
    <row r="15" spans="1:26">
      <c r="A15" s="17">
        <f t="shared" si="10"/>
        <v>45876</v>
      </c>
      <c r="B15" s="18">
        <f t="shared" si="11"/>
        <v>281201844.161675</v>
      </c>
      <c r="C15" s="18">
        <f>2221052.37+1903751</f>
        <v>4124803.37</v>
      </c>
      <c r="D15" s="18">
        <f t="shared" si="12"/>
        <v>2179314.29225298</v>
      </c>
      <c r="E15" s="18">
        <f t="shared" si="1"/>
        <v>1945489.07774702</v>
      </c>
      <c r="F15" s="18">
        <f t="shared" si="2"/>
        <v>279256355.083928</v>
      </c>
      <c r="H15" s="17">
        <f t="shared" si="13"/>
        <v>45876</v>
      </c>
      <c r="I15" s="18">
        <f t="shared" si="14"/>
        <v>157276331.33956</v>
      </c>
      <c r="J15" s="21">
        <v>3535945.64</v>
      </c>
      <c r="K15" s="18">
        <f t="shared" si="15"/>
        <v>1218891.56788159</v>
      </c>
      <c r="L15" s="18">
        <f t="shared" si="16"/>
        <v>2317054.07211841</v>
      </c>
      <c r="M15" s="18">
        <f t="shared" si="3"/>
        <v>154959277.267442</v>
      </c>
      <c r="O15" s="17">
        <f t="shared" si="17"/>
        <v>45876</v>
      </c>
      <c r="P15" s="18">
        <f t="shared" si="18"/>
        <v>122613775.145932</v>
      </c>
      <c r="Q15" s="25">
        <v>2394952.88</v>
      </c>
      <c r="R15" s="18">
        <f t="shared" si="19"/>
        <v>950256.757380974</v>
      </c>
      <c r="S15" s="18">
        <f t="shared" si="20"/>
        <v>1444696.12261903</v>
      </c>
      <c r="T15" s="18">
        <f t="shared" si="4"/>
        <v>121169079.023313</v>
      </c>
      <c r="V15" s="23">
        <f t="shared" si="5"/>
        <v>561091950.647167</v>
      </c>
      <c r="W15" s="23">
        <f t="shared" si="6"/>
        <v>10055701.89</v>
      </c>
      <c r="X15" s="23">
        <f t="shared" si="7"/>
        <v>4348462.61751555</v>
      </c>
      <c r="Y15" s="23">
        <f t="shared" si="8"/>
        <v>5707239.27248445</v>
      </c>
      <c r="Z15" s="23">
        <f t="shared" si="9"/>
        <v>555384711.374683</v>
      </c>
    </row>
    <row r="16" spans="1:26">
      <c r="A16" s="17">
        <f t="shared" si="10"/>
        <v>45907</v>
      </c>
      <c r="B16" s="18">
        <f t="shared" si="11"/>
        <v>279256355.083928</v>
      </c>
      <c r="C16" s="18">
        <v>4123254.76</v>
      </c>
      <c r="D16" s="18">
        <f t="shared" si="12"/>
        <v>2164236.75190044</v>
      </c>
      <c r="E16" s="18">
        <f t="shared" si="1"/>
        <v>1959018.00809956</v>
      </c>
      <c r="F16" s="18">
        <f t="shared" si="2"/>
        <v>277297337.075828</v>
      </c>
      <c r="H16" s="17">
        <f t="shared" si="13"/>
        <v>45907</v>
      </c>
      <c r="I16" s="18">
        <f t="shared" si="14"/>
        <v>154959277.267442</v>
      </c>
      <c r="J16" s="21">
        <v>3478505.22</v>
      </c>
      <c r="K16" s="18">
        <f t="shared" si="15"/>
        <v>1200934.39882268</v>
      </c>
      <c r="L16" s="18">
        <f t="shared" si="16"/>
        <v>2277570.82117733</v>
      </c>
      <c r="M16" s="18">
        <f t="shared" si="3"/>
        <v>152681706.446265</v>
      </c>
      <c r="O16" s="17">
        <f t="shared" si="17"/>
        <v>45907</v>
      </c>
      <c r="P16" s="18">
        <f t="shared" si="18"/>
        <v>121169079.023313</v>
      </c>
      <c r="Q16" s="25">
        <v>2352966.46</v>
      </c>
      <c r="R16" s="18">
        <f t="shared" si="19"/>
        <v>939060.362430676</v>
      </c>
      <c r="S16" s="18">
        <f t="shared" si="20"/>
        <v>1413906.09756932</v>
      </c>
      <c r="T16" s="18">
        <f t="shared" si="4"/>
        <v>119755172.925744</v>
      </c>
      <c r="V16" s="23">
        <f t="shared" si="5"/>
        <v>555384711.374683</v>
      </c>
      <c r="W16" s="23">
        <f t="shared" si="6"/>
        <v>9954726.44</v>
      </c>
      <c r="X16" s="23">
        <f t="shared" si="7"/>
        <v>4304231.51315379</v>
      </c>
      <c r="Y16" s="23">
        <f t="shared" si="8"/>
        <v>5650494.92684621</v>
      </c>
      <c r="Z16" s="23">
        <f t="shared" si="9"/>
        <v>549734216.447837</v>
      </c>
    </row>
    <row r="17" spans="1:26">
      <c r="A17" s="17">
        <f t="shared" si="10"/>
        <v>45938</v>
      </c>
      <c r="B17" s="18">
        <f t="shared" si="11"/>
        <v>277297337.075828</v>
      </c>
      <c r="C17" s="18">
        <f>2119732.42+1930816</f>
        <v>4050548.42</v>
      </c>
      <c r="D17" s="18">
        <f t="shared" si="12"/>
        <v>2149054.36233767</v>
      </c>
      <c r="E17" s="18">
        <f t="shared" si="1"/>
        <v>1901494.05766233</v>
      </c>
      <c r="F17" s="18">
        <f t="shared" si="2"/>
        <v>275395843.018166</v>
      </c>
      <c r="H17" s="17">
        <f t="shared" si="13"/>
        <v>45938</v>
      </c>
      <c r="I17" s="18">
        <f t="shared" si="14"/>
        <v>152681706.446265</v>
      </c>
      <c r="J17" s="21">
        <v>3499605.78</v>
      </c>
      <c r="K17" s="18">
        <f t="shared" si="15"/>
        <v>1183283.22495855</v>
      </c>
      <c r="L17" s="18">
        <f t="shared" si="16"/>
        <v>2316322.55504145</v>
      </c>
      <c r="M17" s="18">
        <f t="shared" si="3"/>
        <v>150365383.891223</v>
      </c>
      <c r="O17" s="17">
        <f t="shared" si="17"/>
        <v>45938</v>
      </c>
      <c r="P17" s="18">
        <f t="shared" si="18"/>
        <v>119755172.925744</v>
      </c>
      <c r="Q17" s="25">
        <v>2372316.71</v>
      </c>
      <c r="R17" s="18">
        <f t="shared" si="19"/>
        <v>928102.590174514</v>
      </c>
      <c r="S17" s="18">
        <f t="shared" si="20"/>
        <v>1444214.11982549</v>
      </c>
      <c r="T17" s="18">
        <f t="shared" si="4"/>
        <v>118310958.805918</v>
      </c>
      <c r="V17" s="23">
        <f t="shared" si="5"/>
        <v>549734216.447837</v>
      </c>
      <c r="W17" s="23">
        <f t="shared" si="6"/>
        <v>9922470.91</v>
      </c>
      <c r="X17" s="23">
        <f t="shared" si="7"/>
        <v>4260440.17747073</v>
      </c>
      <c r="Y17" s="23">
        <f t="shared" si="8"/>
        <v>5662030.73252927</v>
      </c>
      <c r="Z17" s="23">
        <f t="shared" si="9"/>
        <v>544072185.715307</v>
      </c>
    </row>
    <row r="18" spans="1:26">
      <c r="A18" s="17">
        <f t="shared" si="10"/>
        <v>45969</v>
      </c>
      <c r="B18" s="18">
        <f t="shared" si="11"/>
        <v>275395843.018166</v>
      </c>
      <c r="C18" s="18">
        <f>4120124.31</f>
        <v>4120124.31</v>
      </c>
      <c r="D18" s="18">
        <f t="shared" si="12"/>
        <v>2134317.78339078</v>
      </c>
      <c r="E18" s="18">
        <f t="shared" si="1"/>
        <v>1985806.52660922</v>
      </c>
      <c r="F18" s="18">
        <f t="shared" si="2"/>
        <v>273410036.491557</v>
      </c>
      <c r="H18" s="17">
        <f t="shared" si="13"/>
        <v>45969</v>
      </c>
      <c r="I18" s="18">
        <f t="shared" si="14"/>
        <v>150365383.891223</v>
      </c>
      <c r="J18" s="21">
        <v>3443337.6</v>
      </c>
      <c r="K18" s="18">
        <f t="shared" si="15"/>
        <v>1165331.72515698</v>
      </c>
      <c r="L18" s="18">
        <f t="shared" si="16"/>
        <v>2278005.87484302</v>
      </c>
      <c r="M18" s="18">
        <f t="shared" si="3"/>
        <v>148087378.01638</v>
      </c>
      <c r="O18" s="17">
        <f t="shared" si="17"/>
        <v>45969</v>
      </c>
      <c r="P18" s="18">
        <f t="shared" si="18"/>
        <v>118310958.805918</v>
      </c>
      <c r="Q18" s="25">
        <v>2331060.51</v>
      </c>
      <c r="R18" s="18">
        <f t="shared" si="19"/>
        <v>916909.930745867</v>
      </c>
      <c r="S18" s="18">
        <f t="shared" si="20"/>
        <v>1414150.57925413</v>
      </c>
      <c r="T18" s="18">
        <f t="shared" si="4"/>
        <v>116896808.226664</v>
      </c>
      <c r="V18" s="23">
        <f t="shared" si="5"/>
        <v>544072185.715307</v>
      </c>
      <c r="W18" s="23">
        <f t="shared" si="6"/>
        <v>9894522.42</v>
      </c>
      <c r="X18" s="23">
        <f t="shared" si="7"/>
        <v>4216559.43929363</v>
      </c>
      <c r="Y18" s="23">
        <f t="shared" si="8"/>
        <v>5677962.98070637</v>
      </c>
      <c r="Z18" s="23">
        <f t="shared" si="9"/>
        <v>538394222.734601</v>
      </c>
    </row>
    <row r="19" spans="1:26">
      <c r="A19" s="17">
        <f t="shared" si="10"/>
        <v>46000</v>
      </c>
      <c r="B19" s="18">
        <f t="shared" si="11"/>
        <v>273410036.491557</v>
      </c>
      <c r="C19" s="18">
        <f>2090110.19+1958267</f>
        <v>4048377.19</v>
      </c>
      <c r="D19" s="18">
        <f t="shared" si="12"/>
        <v>2118927.78280956</v>
      </c>
      <c r="E19" s="18">
        <f t="shared" si="1"/>
        <v>1929449.40719044</v>
      </c>
      <c r="F19" s="18">
        <f t="shared" si="2"/>
        <v>271480587.084366</v>
      </c>
      <c r="H19" s="17">
        <f t="shared" si="13"/>
        <v>46000</v>
      </c>
      <c r="I19" s="18">
        <f t="shared" si="14"/>
        <v>148087378.01638</v>
      </c>
      <c r="J19" s="21">
        <v>3463265.92</v>
      </c>
      <c r="K19" s="18">
        <f t="shared" si="15"/>
        <v>1147677.17962695</v>
      </c>
      <c r="L19" s="18">
        <f t="shared" si="16"/>
        <v>2315588.74037305</v>
      </c>
      <c r="M19" s="18">
        <f t="shared" si="3"/>
        <v>145771789.276007</v>
      </c>
      <c r="O19" s="17">
        <f t="shared" si="17"/>
        <v>46000</v>
      </c>
      <c r="P19" s="18">
        <f t="shared" si="18"/>
        <v>116896808.226664</v>
      </c>
      <c r="Q19" s="25">
        <v>2349680.57</v>
      </c>
      <c r="R19" s="18">
        <f t="shared" si="19"/>
        <v>905950.263756647</v>
      </c>
      <c r="S19" s="18">
        <f t="shared" si="20"/>
        <v>1443730.30624335</v>
      </c>
      <c r="T19" s="18">
        <f t="shared" si="4"/>
        <v>115453077.920421</v>
      </c>
      <c r="V19" s="23">
        <f t="shared" si="5"/>
        <v>538394222.734601</v>
      </c>
      <c r="W19" s="23">
        <f t="shared" si="6"/>
        <v>9861323.68</v>
      </c>
      <c r="X19" s="23">
        <f t="shared" si="7"/>
        <v>4172555.22619316</v>
      </c>
      <c r="Y19" s="23">
        <f t="shared" si="8"/>
        <v>5688768.45380684</v>
      </c>
      <c r="Z19" s="23">
        <f t="shared" si="9"/>
        <v>532705454.280794</v>
      </c>
    </row>
    <row r="20" spans="1:26">
      <c r="A20" s="17">
        <f t="shared" si="10"/>
        <v>46031</v>
      </c>
      <c r="B20" s="18">
        <f t="shared" si="11"/>
        <v>271480587.084366</v>
      </c>
      <c r="C20" s="18">
        <f>2144811.86+1972138</f>
        <v>4116949.86</v>
      </c>
      <c r="D20" s="18">
        <f t="shared" si="12"/>
        <v>2103974.54990384</v>
      </c>
      <c r="E20" s="18">
        <f t="shared" si="1"/>
        <v>2012975.31009616</v>
      </c>
      <c r="F20" s="18">
        <f t="shared" si="2"/>
        <v>269467611.77427</v>
      </c>
      <c r="H20" s="17">
        <f t="shared" si="13"/>
        <v>46031</v>
      </c>
      <c r="I20" s="18">
        <f t="shared" si="14"/>
        <v>145771789.276007</v>
      </c>
      <c r="J20" s="21">
        <v>3445095.98</v>
      </c>
      <c r="K20" s="18">
        <f t="shared" si="15"/>
        <v>1129731.36688905</v>
      </c>
      <c r="L20" s="18">
        <f t="shared" si="16"/>
        <v>2315364.61311095</v>
      </c>
      <c r="M20" s="18">
        <f t="shared" si="3"/>
        <v>143456424.662896</v>
      </c>
      <c r="O20" s="17">
        <f t="shared" si="17"/>
        <v>46031</v>
      </c>
      <c r="P20" s="18">
        <f t="shared" si="18"/>
        <v>115453077.920421</v>
      </c>
      <c r="Q20" s="25">
        <v>2338362.49</v>
      </c>
      <c r="R20" s="18">
        <f t="shared" si="19"/>
        <v>894761.353883261</v>
      </c>
      <c r="S20" s="18">
        <f t="shared" si="20"/>
        <v>1443601.13611674</v>
      </c>
      <c r="T20" s="18">
        <f t="shared" si="4"/>
        <v>114009476.784304</v>
      </c>
      <c r="V20" s="23">
        <f t="shared" si="5"/>
        <v>532705454.280794</v>
      </c>
      <c r="W20" s="23">
        <f t="shared" si="6"/>
        <v>9900408.33</v>
      </c>
      <c r="X20" s="23">
        <f t="shared" si="7"/>
        <v>4128467.27067615</v>
      </c>
      <c r="Y20" s="23">
        <f t="shared" si="8"/>
        <v>5771941.05932385</v>
      </c>
      <c r="Z20" s="23">
        <f t="shared" si="9"/>
        <v>526933513.22147</v>
      </c>
    </row>
    <row r="21" spans="1:26">
      <c r="A21" s="17">
        <f t="shared" si="10"/>
        <v>46062</v>
      </c>
      <c r="B21" s="18">
        <f t="shared" si="11"/>
        <v>269467611.77427</v>
      </c>
      <c r="C21" s="18">
        <f>3978007.41</f>
        <v>3978007.41</v>
      </c>
      <c r="D21" s="18">
        <f t="shared" si="12"/>
        <v>2088373.99125059</v>
      </c>
      <c r="E21" s="18">
        <f t="shared" si="1"/>
        <v>1889633.41874941</v>
      </c>
      <c r="F21" s="18">
        <f t="shared" si="2"/>
        <v>267577978.355521</v>
      </c>
      <c r="H21" s="17">
        <f t="shared" si="13"/>
        <v>46062</v>
      </c>
      <c r="I21" s="18">
        <f t="shared" si="14"/>
        <v>143456424.662896</v>
      </c>
      <c r="J21" s="21">
        <v>3317906.46</v>
      </c>
      <c r="K21" s="18">
        <f t="shared" si="15"/>
        <v>1111787.29113745</v>
      </c>
      <c r="L21" s="18">
        <f t="shared" si="16"/>
        <v>2206119.16886256</v>
      </c>
      <c r="M21" s="18">
        <f t="shared" si="3"/>
        <v>141250305.494034</v>
      </c>
      <c r="O21" s="17">
        <f t="shared" si="17"/>
        <v>46062</v>
      </c>
      <c r="P21" s="18">
        <f t="shared" si="18"/>
        <v>114009476.784304</v>
      </c>
      <c r="Q21" s="25">
        <v>2240515.89</v>
      </c>
      <c r="R21" s="18">
        <f t="shared" si="19"/>
        <v>883573.445078357</v>
      </c>
      <c r="S21" s="18">
        <f t="shared" si="20"/>
        <v>1356942.44492164</v>
      </c>
      <c r="T21" s="18">
        <f t="shared" si="4"/>
        <v>112652534.339382</v>
      </c>
      <c r="V21" s="23">
        <f t="shared" si="5"/>
        <v>526933513.22147</v>
      </c>
      <c r="W21" s="23">
        <f t="shared" si="6"/>
        <v>9536429.76</v>
      </c>
      <c r="X21" s="23">
        <f t="shared" si="7"/>
        <v>4083734.72746639</v>
      </c>
      <c r="Y21" s="23">
        <f t="shared" si="8"/>
        <v>5452695.03253361</v>
      </c>
      <c r="Z21" s="23">
        <f t="shared" si="9"/>
        <v>521480818.188936</v>
      </c>
    </row>
    <row r="22" spans="1:26">
      <c r="A22" s="17">
        <f t="shared" si="10"/>
        <v>46093</v>
      </c>
      <c r="B22" s="18">
        <f t="shared" si="11"/>
        <v>267577978.355521</v>
      </c>
      <c r="C22" s="18">
        <f>2044885.34+2000175</f>
        <v>4045060.34</v>
      </c>
      <c r="D22" s="18">
        <f t="shared" si="12"/>
        <v>2073729.33225528</v>
      </c>
      <c r="E22" s="18">
        <f t="shared" si="1"/>
        <v>1971331.00774472</v>
      </c>
      <c r="F22" s="18">
        <f t="shared" si="2"/>
        <v>265606647.347776</v>
      </c>
      <c r="H22" s="17">
        <f t="shared" si="13"/>
        <v>46093</v>
      </c>
      <c r="I22" s="18">
        <f t="shared" si="14"/>
        <v>141250305.494034</v>
      </c>
      <c r="J22" s="21">
        <v>3408756.12</v>
      </c>
      <c r="K22" s="18">
        <f t="shared" si="15"/>
        <v>1094689.86757876</v>
      </c>
      <c r="L22" s="18">
        <f t="shared" si="16"/>
        <v>2314066.25242124</v>
      </c>
      <c r="M22" s="18">
        <f t="shared" si="3"/>
        <v>138936239.241612</v>
      </c>
      <c r="O22" s="17">
        <f t="shared" si="17"/>
        <v>46093</v>
      </c>
      <c r="P22" s="18">
        <f t="shared" si="18"/>
        <v>112652534.339382</v>
      </c>
      <c r="Q22" s="25">
        <v>2315726.34</v>
      </c>
      <c r="R22" s="18">
        <f t="shared" si="19"/>
        <v>873057.141130214</v>
      </c>
      <c r="S22" s="18">
        <f t="shared" si="20"/>
        <v>1442669.19886979</v>
      </c>
      <c r="T22" s="18">
        <f t="shared" si="4"/>
        <v>111209865.140513</v>
      </c>
      <c r="V22" s="23">
        <f t="shared" si="5"/>
        <v>521480818.188936</v>
      </c>
      <c r="W22" s="23">
        <f t="shared" si="6"/>
        <v>9769542.8</v>
      </c>
      <c r="X22" s="23">
        <f t="shared" si="7"/>
        <v>4041476.34096426</v>
      </c>
      <c r="Y22" s="23">
        <f t="shared" si="8"/>
        <v>5728066.45903574</v>
      </c>
      <c r="Z22" s="23">
        <f t="shared" si="9"/>
        <v>515752751.729901</v>
      </c>
    </row>
    <row r="23" spans="1:26">
      <c r="A23" s="17">
        <f t="shared" si="10"/>
        <v>46124</v>
      </c>
      <c r="B23" s="18">
        <f t="shared" si="11"/>
        <v>265606647.347776</v>
      </c>
      <c r="C23" s="18">
        <f>4112102.18</f>
        <v>4112102.18</v>
      </c>
      <c r="D23" s="18">
        <f t="shared" si="12"/>
        <v>2058451.51694526</v>
      </c>
      <c r="E23" s="18">
        <f t="shared" si="1"/>
        <v>2053650.66305474</v>
      </c>
      <c r="F23" s="18">
        <f t="shared" si="2"/>
        <v>263552996.684721</v>
      </c>
      <c r="H23" s="17">
        <f t="shared" si="13"/>
        <v>46124</v>
      </c>
      <c r="I23" s="18">
        <f t="shared" si="14"/>
        <v>138936239.241612</v>
      </c>
      <c r="J23" s="21">
        <v>3355418.58</v>
      </c>
      <c r="K23" s="18">
        <f t="shared" si="15"/>
        <v>1076755.8541225</v>
      </c>
      <c r="L23" s="18">
        <f t="shared" si="16"/>
        <v>2278662.7258775</v>
      </c>
      <c r="M23" s="18">
        <f t="shared" si="3"/>
        <v>136657576.515735</v>
      </c>
      <c r="O23" s="17">
        <f t="shared" si="17"/>
        <v>46124</v>
      </c>
      <c r="P23" s="18">
        <f t="shared" si="18"/>
        <v>111209865.140513</v>
      </c>
      <c r="Q23" s="25">
        <v>2276295.62</v>
      </c>
      <c r="R23" s="18">
        <f t="shared" si="19"/>
        <v>861876.454838973</v>
      </c>
      <c r="S23" s="18">
        <f t="shared" si="20"/>
        <v>1414419.16516103</v>
      </c>
      <c r="T23" s="18">
        <f t="shared" si="4"/>
        <v>109795445.975352</v>
      </c>
      <c r="V23" s="23">
        <f t="shared" si="5"/>
        <v>515752751.729901</v>
      </c>
      <c r="W23" s="23">
        <f t="shared" si="6"/>
        <v>9743816.38</v>
      </c>
      <c r="X23" s="23">
        <f t="shared" si="7"/>
        <v>3997083.82590673</v>
      </c>
      <c r="Y23" s="23">
        <f t="shared" si="8"/>
        <v>5746732.55409327</v>
      </c>
      <c r="Z23" s="23">
        <f t="shared" si="9"/>
        <v>510006019.175808</v>
      </c>
    </row>
    <row r="24" spans="1:26">
      <c r="A24" s="17">
        <f t="shared" si="10"/>
        <v>46155</v>
      </c>
      <c r="B24" s="18">
        <f t="shared" si="11"/>
        <v>263552996.684721</v>
      </c>
      <c r="C24" s="18">
        <f>2014199.02+2028611</f>
        <v>4042810.02</v>
      </c>
      <c r="D24" s="18">
        <f t="shared" si="12"/>
        <v>2042535.72430659</v>
      </c>
      <c r="E24" s="18">
        <f t="shared" si="1"/>
        <v>2000274.29569341</v>
      </c>
      <c r="F24" s="18">
        <f t="shared" si="2"/>
        <v>261552722.389028</v>
      </c>
      <c r="H24" s="17">
        <f t="shared" si="13"/>
        <v>46155</v>
      </c>
      <c r="I24" s="18">
        <f t="shared" si="14"/>
        <v>136657576.515735</v>
      </c>
      <c r="J24" s="21">
        <v>3372416.26</v>
      </c>
      <c r="K24" s="18">
        <f t="shared" si="15"/>
        <v>1059096.21799695</v>
      </c>
      <c r="L24" s="18">
        <f t="shared" si="16"/>
        <v>2313320.04200305</v>
      </c>
      <c r="M24" s="18">
        <f t="shared" si="3"/>
        <v>134344256.473732</v>
      </c>
      <c r="O24" s="17">
        <f t="shared" si="17"/>
        <v>46155</v>
      </c>
      <c r="P24" s="18">
        <f t="shared" si="18"/>
        <v>109795445.975352</v>
      </c>
      <c r="Q24" s="25">
        <v>2293090.18</v>
      </c>
      <c r="R24" s="18">
        <f t="shared" si="19"/>
        <v>850914.706308975</v>
      </c>
      <c r="S24" s="18">
        <f t="shared" si="20"/>
        <v>1442175.47369102</v>
      </c>
      <c r="T24" s="18">
        <f t="shared" si="4"/>
        <v>108353270.501661</v>
      </c>
      <c r="V24" s="23">
        <f t="shared" si="5"/>
        <v>510006019.175808</v>
      </c>
      <c r="W24" s="23">
        <f t="shared" si="6"/>
        <v>9708316.46</v>
      </c>
      <c r="X24" s="23">
        <f t="shared" si="7"/>
        <v>3952546.64861251</v>
      </c>
      <c r="Y24" s="23">
        <f t="shared" si="8"/>
        <v>5755769.81138749</v>
      </c>
      <c r="Z24" s="23">
        <f t="shared" si="9"/>
        <v>504250249.36442</v>
      </c>
    </row>
    <row r="25" spans="1:26">
      <c r="A25" s="17">
        <f t="shared" si="10"/>
        <v>46186</v>
      </c>
      <c r="B25" s="18">
        <f t="shared" si="11"/>
        <v>261552722.389028</v>
      </c>
      <c r="C25" s="18">
        <v>4108813.63</v>
      </c>
      <c r="D25" s="18">
        <f t="shared" si="12"/>
        <v>2027033.59851496</v>
      </c>
      <c r="E25" s="18">
        <f t="shared" si="1"/>
        <v>2081780.03148504</v>
      </c>
      <c r="F25" s="18">
        <f t="shared" si="2"/>
        <v>259470942.357543</v>
      </c>
      <c r="H25" s="17">
        <f t="shared" si="13"/>
        <v>46186</v>
      </c>
      <c r="I25" s="18">
        <f t="shared" si="14"/>
        <v>134344256.473732</v>
      </c>
      <c r="J25" s="21">
        <v>3320250.96</v>
      </c>
      <c r="K25" s="18">
        <f t="shared" si="15"/>
        <v>1041167.98767142</v>
      </c>
      <c r="L25" s="18">
        <f t="shared" si="16"/>
        <v>2279082.97232858</v>
      </c>
      <c r="M25" s="18">
        <f t="shared" si="3"/>
        <v>132065173.501403</v>
      </c>
      <c r="O25" s="17">
        <f t="shared" si="17"/>
        <v>46186</v>
      </c>
      <c r="P25" s="18">
        <f t="shared" si="18"/>
        <v>108353270.501661</v>
      </c>
      <c r="Q25" s="25">
        <v>2254389.67</v>
      </c>
      <c r="R25" s="18">
        <f t="shared" si="19"/>
        <v>839737.84638787</v>
      </c>
      <c r="S25" s="18">
        <f t="shared" si="20"/>
        <v>1414651.82361213</v>
      </c>
      <c r="T25" s="18">
        <f t="shared" si="4"/>
        <v>106938618.678048</v>
      </c>
      <c r="V25" s="23">
        <f t="shared" si="5"/>
        <v>504250249.36442</v>
      </c>
      <c r="W25" s="23">
        <f t="shared" si="6"/>
        <v>9683454.26</v>
      </c>
      <c r="X25" s="23">
        <f t="shared" si="7"/>
        <v>3907939.43257426</v>
      </c>
      <c r="Y25" s="23">
        <f t="shared" si="8"/>
        <v>5775514.82742574</v>
      </c>
      <c r="Z25" s="23">
        <f t="shared" si="9"/>
        <v>498474734.536994</v>
      </c>
    </row>
    <row r="26" spans="1:26">
      <c r="A26" s="17">
        <f t="shared" si="10"/>
        <v>46217</v>
      </c>
      <c r="B26" s="18">
        <f t="shared" si="11"/>
        <v>259470942.357543</v>
      </c>
      <c r="C26" s="18">
        <f>1983076.44+2057452</f>
        <v>4040528.44</v>
      </c>
      <c r="D26" s="18">
        <f t="shared" ref="D26:D89" si="21">(B26*$D$2)/12</f>
        <v>2010899.80327096</v>
      </c>
      <c r="E26" s="18">
        <f t="shared" ref="E26:E89" si="22">C26-D26</f>
        <v>2029628.63672904</v>
      </c>
      <c r="F26" s="18">
        <f t="shared" ref="F26:F89" si="23">B26-E26</f>
        <v>257441313.720814</v>
      </c>
      <c r="H26" s="17">
        <f t="shared" si="13"/>
        <v>46217</v>
      </c>
      <c r="I26" s="18">
        <f t="shared" si="14"/>
        <v>132065173.501403</v>
      </c>
      <c r="J26" s="21">
        <v>3336076.4</v>
      </c>
      <c r="K26" s="18">
        <f t="shared" si="15"/>
        <v>1023505.09463587</v>
      </c>
      <c r="L26" s="18">
        <f t="shared" si="16"/>
        <v>2312571.30536412</v>
      </c>
      <c r="M26" s="18">
        <f t="shared" si="3"/>
        <v>129752602.196039</v>
      </c>
      <c r="O26" s="17">
        <f t="shared" si="17"/>
        <v>46217</v>
      </c>
      <c r="P26" s="18">
        <f t="shared" si="18"/>
        <v>106938618.678048</v>
      </c>
      <c r="Q26" s="25">
        <v>2270454.03</v>
      </c>
      <c r="R26" s="18">
        <f t="shared" si="19"/>
        <v>828774.294754876</v>
      </c>
      <c r="S26" s="18">
        <f t="shared" si="20"/>
        <v>1441679.73524512</v>
      </c>
      <c r="T26" s="18">
        <f t="shared" si="4"/>
        <v>105496938.942803</v>
      </c>
      <c r="V26" s="23">
        <f t="shared" si="5"/>
        <v>498474734.536994</v>
      </c>
      <c r="W26" s="23">
        <f t="shared" si="6"/>
        <v>9647058.87</v>
      </c>
      <c r="X26" s="23">
        <f t="shared" si="7"/>
        <v>3863179.19266171</v>
      </c>
      <c r="Y26" s="23">
        <f t="shared" si="8"/>
        <v>5783879.67733829</v>
      </c>
      <c r="Z26" s="23">
        <f t="shared" si="9"/>
        <v>492690854.859656</v>
      </c>
    </row>
    <row r="27" spans="1:26">
      <c r="A27" s="17">
        <f t="shared" si="10"/>
        <v>46248</v>
      </c>
      <c r="B27" s="18">
        <f t="shared" si="11"/>
        <v>257441313.720814</v>
      </c>
      <c r="C27" s="18">
        <f>2033452.17+2072025</f>
        <v>4105477.17</v>
      </c>
      <c r="D27" s="18">
        <f t="shared" si="21"/>
        <v>1995170.18133631</v>
      </c>
      <c r="E27" s="18">
        <f t="shared" si="22"/>
        <v>2110306.98866369</v>
      </c>
      <c r="F27" s="18">
        <f t="shared" si="23"/>
        <v>255331006.73215</v>
      </c>
      <c r="H27" s="17">
        <f t="shared" si="13"/>
        <v>46248</v>
      </c>
      <c r="I27" s="18">
        <f t="shared" si="14"/>
        <v>129752602.196039</v>
      </c>
      <c r="J27" s="21">
        <v>3317906.46</v>
      </c>
      <c r="K27" s="18">
        <f t="shared" si="15"/>
        <v>1005582.6670193</v>
      </c>
      <c r="L27" s="18">
        <f t="shared" si="16"/>
        <v>2312323.7929807</v>
      </c>
      <c r="M27" s="18">
        <f t="shared" si="3"/>
        <v>127440278.403058</v>
      </c>
      <c r="O27" s="17">
        <f t="shared" si="17"/>
        <v>46248</v>
      </c>
      <c r="P27" s="18">
        <f t="shared" si="18"/>
        <v>105496938.942803</v>
      </c>
      <c r="Q27" s="25">
        <v>2259135.96</v>
      </c>
      <c r="R27" s="18">
        <f t="shared" si="19"/>
        <v>817601.276806726</v>
      </c>
      <c r="S27" s="18">
        <f t="shared" si="20"/>
        <v>1441534.68319327</v>
      </c>
      <c r="T27" s="18">
        <f t="shared" si="4"/>
        <v>104055404.25961</v>
      </c>
      <c r="V27" s="23">
        <f t="shared" si="5"/>
        <v>492690854.859656</v>
      </c>
      <c r="W27" s="23">
        <f t="shared" si="6"/>
        <v>9682519.59</v>
      </c>
      <c r="X27" s="23">
        <f t="shared" si="7"/>
        <v>3818354.12516233</v>
      </c>
      <c r="Y27" s="23">
        <f t="shared" si="8"/>
        <v>5864165.46483767</v>
      </c>
      <c r="Z27" s="23">
        <f t="shared" si="9"/>
        <v>486826689.394818</v>
      </c>
    </row>
    <row r="28" spans="1:26">
      <c r="A28" s="17">
        <f t="shared" si="10"/>
        <v>46279</v>
      </c>
      <c r="B28" s="18">
        <f t="shared" si="11"/>
        <v>255331006.73215</v>
      </c>
      <c r="C28" s="18">
        <f>4103791.73</f>
        <v>4103791.73</v>
      </c>
      <c r="D28" s="18">
        <f t="shared" si="21"/>
        <v>1978815.30217416</v>
      </c>
      <c r="E28" s="18">
        <f t="shared" si="22"/>
        <v>2124976.42782584</v>
      </c>
      <c r="F28" s="18">
        <f t="shared" si="23"/>
        <v>253206030.304324</v>
      </c>
      <c r="H28" s="17">
        <f t="shared" si="13"/>
        <v>46279</v>
      </c>
      <c r="I28" s="18">
        <f t="shared" si="14"/>
        <v>127440278.403058</v>
      </c>
      <c r="J28" s="21">
        <v>3267499.55</v>
      </c>
      <c r="K28" s="18">
        <f t="shared" si="15"/>
        <v>987662.157623703</v>
      </c>
      <c r="L28" s="18">
        <f t="shared" si="16"/>
        <v>2279837.3923763</v>
      </c>
      <c r="M28" s="18">
        <f t="shared" si="3"/>
        <v>125160441.010682</v>
      </c>
      <c r="O28" s="17">
        <f t="shared" si="17"/>
        <v>46279</v>
      </c>
      <c r="P28" s="18">
        <f t="shared" si="18"/>
        <v>104055404.25961</v>
      </c>
      <c r="Q28" s="25">
        <v>2221530.73</v>
      </c>
      <c r="R28" s="18">
        <f t="shared" si="19"/>
        <v>806429.383011978</v>
      </c>
      <c r="S28" s="18">
        <f t="shared" si="20"/>
        <v>1415101.34698802</v>
      </c>
      <c r="T28" s="18">
        <f t="shared" si="4"/>
        <v>102640302.912622</v>
      </c>
      <c r="V28" s="23">
        <f t="shared" si="5"/>
        <v>486826689.394818</v>
      </c>
      <c r="W28" s="23">
        <f t="shared" si="6"/>
        <v>9592822.01</v>
      </c>
      <c r="X28" s="23">
        <f t="shared" si="7"/>
        <v>3772906.84280984</v>
      </c>
      <c r="Y28" s="23">
        <f t="shared" si="8"/>
        <v>5819915.16719016</v>
      </c>
      <c r="Z28" s="23">
        <f t="shared" si="9"/>
        <v>481006774.227628</v>
      </c>
    </row>
    <row r="29" spans="1:26">
      <c r="A29" s="17">
        <f t="shared" si="10"/>
        <v>46310</v>
      </c>
      <c r="B29" s="18">
        <f t="shared" si="11"/>
        <v>253206030.304324</v>
      </c>
      <c r="C29" s="18">
        <f>1935560.99+2686614</f>
        <v>4622174.99</v>
      </c>
      <c r="D29" s="18">
        <f t="shared" si="21"/>
        <v>1962346.73485851</v>
      </c>
      <c r="E29" s="18">
        <f t="shared" si="22"/>
        <v>2659828.25514149</v>
      </c>
      <c r="F29" s="18">
        <f t="shared" si="23"/>
        <v>250546202.049183</v>
      </c>
      <c r="H29" s="17">
        <f t="shared" si="13"/>
        <v>46310</v>
      </c>
      <c r="I29" s="18">
        <f t="shared" si="14"/>
        <v>125160441.010682</v>
      </c>
      <c r="J29" s="21">
        <v>3281566.6</v>
      </c>
      <c r="K29" s="18">
        <f t="shared" si="15"/>
        <v>969993.417832786</v>
      </c>
      <c r="L29" s="18">
        <f t="shared" si="16"/>
        <v>2311573.18216721</v>
      </c>
      <c r="M29" s="18">
        <f t="shared" si="3"/>
        <v>122848867.828515</v>
      </c>
      <c r="O29" s="17">
        <f t="shared" si="17"/>
        <v>46310</v>
      </c>
      <c r="P29" s="18">
        <f t="shared" si="18"/>
        <v>102640302.912622</v>
      </c>
      <c r="Q29" s="25">
        <v>2236499.8</v>
      </c>
      <c r="R29" s="18">
        <f t="shared" si="19"/>
        <v>795462.347572821</v>
      </c>
      <c r="S29" s="18">
        <f t="shared" si="20"/>
        <v>1441037.45242718</v>
      </c>
      <c r="T29" s="18">
        <f t="shared" si="4"/>
        <v>101199265.460195</v>
      </c>
      <c r="V29" s="23">
        <f t="shared" si="5"/>
        <v>481006774.227628</v>
      </c>
      <c r="W29" s="23">
        <f t="shared" si="6"/>
        <v>10140241.39</v>
      </c>
      <c r="X29" s="23">
        <f t="shared" si="7"/>
        <v>3727802.50026412</v>
      </c>
      <c r="Y29" s="23">
        <f t="shared" si="8"/>
        <v>6412438.88973588</v>
      </c>
      <c r="Z29" s="23">
        <f t="shared" si="9"/>
        <v>474594335.337892</v>
      </c>
    </row>
    <row r="30" spans="1:26">
      <c r="A30" s="17">
        <f t="shared" si="10"/>
        <v>46341</v>
      </c>
      <c r="B30" s="18">
        <f t="shared" si="11"/>
        <v>250546202.049183</v>
      </c>
      <c r="C30" s="18">
        <f>4685188.66</f>
        <v>4685188.66</v>
      </c>
      <c r="D30" s="18">
        <f t="shared" si="21"/>
        <v>1941733.06588116</v>
      </c>
      <c r="E30" s="18">
        <f t="shared" si="22"/>
        <v>2743455.59411884</v>
      </c>
      <c r="F30" s="18">
        <f t="shared" si="23"/>
        <v>247802746.455064</v>
      </c>
      <c r="H30" s="17">
        <f t="shared" si="13"/>
        <v>46341</v>
      </c>
      <c r="I30" s="18">
        <f t="shared" si="14"/>
        <v>122848867.828515</v>
      </c>
      <c r="J30" s="21">
        <v>3232331.94</v>
      </c>
      <c r="K30" s="18">
        <f t="shared" si="15"/>
        <v>952078.72567099</v>
      </c>
      <c r="L30" s="18">
        <f t="shared" si="16"/>
        <v>2280253.21432901</v>
      </c>
      <c r="M30" s="18">
        <f t="shared" si="3"/>
        <v>120568614.614186</v>
      </c>
      <c r="O30" s="17">
        <f t="shared" si="17"/>
        <v>46341</v>
      </c>
      <c r="P30" s="18">
        <f t="shared" si="18"/>
        <v>101199265.460195</v>
      </c>
      <c r="Q30" s="25">
        <v>2199624.78</v>
      </c>
      <c r="R30" s="18">
        <f t="shared" si="19"/>
        <v>784294.30731651</v>
      </c>
      <c r="S30" s="18">
        <f t="shared" si="20"/>
        <v>1415330.47268349</v>
      </c>
      <c r="T30" s="18">
        <f t="shared" si="4"/>
        <v>99783934.9875114</v>
      </c>
      <c r="V30" s="23">
        <f t="shared" si="5"/>
        <v>474594335.337892</v>
      </c>
      <c r="W30" s="23">
        <f t="shared" si="6"/>
        <v>10117145.38</v>
      </c>
      <c r="X30" s="23">
        <f t="shared" si="7"/>
        <v>3678106.09886867</v>
      </c>
      <c r="Y30" s="23">
        <f t="shared" si="8"/>
        <v>6439039.28113133</v>
      </c>
      <c r="Z30" s="23">
        <f t="shared" si="9"/>
        <v>468155296.056761</v>
      </c>
    </row>
    <row r="31" spans="1:26">
      <c r="A31" s="17">
        <f t="shared" si="10"/>
        <v>46372</v>
      </c>
      <c r="B31" s="18">
        <f t="shared" si="11"/>
        <v>247802746.455064</v>
      </c>
      <c r="C31" s="18">
        <f>1894343.46+2724810</f>
        <v>4619153.46</v>
      </c>
      <c r="D31" s="18">
        <f t="shared" si="21"/>
        <v>1920471.28502674</v>
      </c>
      <c r="E31" s="18">
        <f t="shared" si="22"/>
        <v>2698682.17497326</v>
      </c>
      <c r="F31" s="18">
        <f t="shared" si="23"/>
        <v>245104064.28009</v>
      </c>
      <c r="H31" s="17">
        <f t="shared" si="13"/>
        <v>46372</v>
      </c>
      <c r="I31" s="18">
        <f t="shared" si="14"/>
        <v>120568614.614186</v>
      </c>
      <c r="J31" s="21">
        <v>3245226.73</v>
      </c>
      <c r="K31" s="18">
        <f t="shared" si="15"/>
        <v>934406.76325994</v>
      </c>
      <c r="L31" s="18">
        <f t="shared" si="16"/>
        <v>2310819.96674006</v>
      </c>
      <c r="M31" s="18">
        <f t="shared" si="3"/>
        <v>118257794.647446</v>
      </c>
      <c r="O31" s="17">
        <f t="shared" si="17"/>
        <v>46372</v>
      </c>
      <c r="P31" s="18">
        <f t="shared" si="18"/>
        <v>99783934.9875114</v>
      </c>
      <c r="Q31" s="25">
        <v>2213863.65</v>
      </c>
      <c r="R31" s="18">
        <f t="shared" si="19"/>
        <v>773325.496153213</v>
      </c>
      <c r="S31" s="18">
        <f t="shared" si="20"/>
        <v>1440538.15384679</v>
      </c>
      <c r="T31" s="18">
        <f t="shared" si="4"/>
        <v>98343396.8336646</v>
      </c>
      <c r="V31" s="23">
        <f t="shared" si="5"/>
        <v>468155296.056761</v>
      </c>
      <c r="W31" s="23">
        <f t="shared" si="6"/>
        <v>10078243.84</v>
      </c>
      <c r="X31" s="23">
        <f t="shared" si="7"/>
        <v>3628203.5444399</v>
      </c>
      <c r="Y31" s="23">
        <f t="shared" si="8"/>
        <v>6450040.2955601</v>
      </c>
      <c r="Z31" s="23">
        <f t="shared" si="9"/>
        <v>461705255.761201</v>
      </c>
    </row>
    <row r="32" spans="1:26">
      <c r="A32" s="17">
        <f t="shared" si="10"/>
        <v>46403</v>
      </c>
      <c r="B32" s="18">
        <f t="shared" si="11"/>
        <v>245104064.28009</v>
      </c>
      <c r="C32" s="18">
        <f>1936660.23+2744110</f>
        <v>4680770.23</v>
      </c>
      <c r="D32" s="18">
        <f t="shared" si="21"/>
        <v>1899556.4981707</v>
      </c>
      <c r="E32" s="18">
        <f t="shared" si="22"/>
        <v>2781213.7318293</v>
      </c>
      <c r="F32" s="18">
        <f t="shared" si="23"/>
        <v>242322850.548261</v>
      </c>
      <c r="H32" s="17">
        <f t="shared" si="13"/>
        <v>46403</v>
      </c>
      <c r="I32" s="18">
        <f t="shared" si="14"/>
        <v>118257794.647446</v>
      </c>
      <c r="J32" s="21">
        <v>3227056.8</v>
      </c>
      <c r="K32" s="18">
        <f t="shared" si="15"/>
        <v>916497.908517705</v>
      </c>
      <c r="L32" s="18">
        <f t="shared" si="16"/>
        <v>2310558.8914823</v>
      </c>
      <c r="M32" s="18">
        <f t="shared" si="3"/>
        <v>115947235.755964</v>
      </c>
      <c r="O32" s="17">
        <f t="shared" si="17"/>
        <v>46403</v>
      </c>
      <c r="P32" s="18">
        <f t="shared" si="18"/>
        <v>98343396.8336646</v>
      </c>
      <c r="Q32" s="25">
        <v>2202545.58</v>
      </c>
      <c r="R32" s="18">
        <f t="shared" si="19"/>
        <v>762161.325460901</v>
      </c>
      <c r="S32" s="18">
        <f t="shared" si="20"/>
        <v>1440384.2545391</v>
      </c>
      <c r="T32" s="18">
        <f t="shared" si="4"/>
        <v>96903012.5791255</v>
      </c>
      <c r="V32" s="23">
        <f t="shared" si="5"/>
        <v>461705255.761201</v>
      </c>
      <c r="W32" s="23">
        <f t="shared" si="6"/>
        <v>10110372.61</v>
      </c>
      <c r="X32" s="23">
        <f t="shared" si="7"/>
        <v>3578215.73214931</v>
      </c>
      <c r="Y32" s="23">
        <f t="shared" si="8"/>
        <v>6532156.87785069</v>
      </c>
      <c r="Z32" s="23">
        <f t="shared" si="9"/>
        <v>455173098.88335</v>
      </c>
    </row>
    <row r="33" spans="1:26">
      <c r="A33" s="17">
        <f t="shared" si="10"/>
        <v>46434</v>
      </c>
      <c r="B33" s="18">
        <f t="shared" si="11"/>
        <v>242322850.548261</v>
      </c>
      <c r="C33" s="18">
        <f>4555035.78</f>
        <v>4555035.78</v>
      </c>
      <c r="D33" s="18">
        <f t="shared" si="21"/>
        <v>1878002.09174902</v>
      </c>
      <c r="E33" s="18">
        <f t="shared" si="22"/>
        <v>2677033.68825098</v>
      </c>
      <c r="F33" s="18">
        <f t="shared" si="23"/>
        <v>239645816.86001</v>
      </c>
      <c r="H33" s="17">
        <f t="shared" si="13"/>
        <v>46434</v>
      </c>
      <c r="I33" s="18">
        <f t="shared" si="14"/>
        <v>115947235.755964</v>
      </c>
      <c r="J33" s="21">
        <v>3120967.85</v>
      </c>
      <c r="K33" s="18">
        <f t="shared" si="15"/>
        <v>898591.077108717</v>
      </c>
      <c r="L33" s="18">
        <f t="shared" si="16"/>
        <v>2222376.77289128</v>
      </c>
      <c r="M33" s="18">
        <f t="shared" si="3"/>
        <v>113724858.983072</v>
      </c>
      <c r="O33" s="17">
        <f t="shared" si="17"/>
        <v>46434</v>
      </c>
      <c r="P33" s="18">
        <f t="shared" si="18"/>
        <v>96903012.5791255</v>
      </c>
      <c r="Q33" s="25">
        <v>2117842.55</v>
      </c>
      <c r="R33" s="18">
        <f t="shared" si="19"/>
        <v>750998.347488223</v>
      </c>
      <c r="S33" s="18">
        <f t="shared" si="20"/>
        <v>1366844.20251178</v>
      </c>
      <c r="T33" s="18">
        <f t="shared" si="4"/>
        <v>95536168.3766137</v>
      </c>
      <c r="V33" s="23">
        <f t="shared" si="5"/>
        <v>455173098.88335</v>
      </c>
      <c r="W33" s="23">
        <f t="shared" si="6"/>
        <v>9793846.18</v>
      </c>
      <c r="X33" s="23">
        <f t="shared" si="7"/>
        <v>3527591.51634596</v>
      </c>
      <c r="Y33" s="23">
        <f t="shared" si="8"/>
        <v>6266254.66365404</v>
      </c>
      <c r="Z33" s="23">
        <f t="shared" si="9"/>
        <v>448906844.219696</v>
      </c>
    </row>
    <row r="34" spans="1:26">
      <c r="A34" s="17">
        <f t="shared" si="10"/>
        <v>46465</v>
      </c>
      <c r="B34" s="18">
        <f t="shared" si="11"/>
        <v>239645816.86001</v>
      </c>
      <c r="C34" s="18">
        <f>1831415.83+2783123</f>
        <v>4614538.83</v>
      </c>
      <c r="D34" s="18">
        <f t="shared" si="21"/>
        <v>1857255.08066508</v>
      </c>
      <c r="E34" s="18">
        <f t="shared" si="22"/>
        <v>2757283.74933492</v>
      </c>
      <c r="F34" s="18">
        <f t="shared" si="23"/>
        <v>236888533.110675</v>
      </c>
      <c r="H34" s="17">
        <f t="shared" si="13"/>
        <v>46465</v>
      </c>
      <c r="I34" s="18">
        <f t="shared" si="14"/>
        <v>113724858.983072</v>
      </c>
      <c r="J34" s="21">
        <v>3190716.93</v>
      </c>
      <c r="K34" s="18">
        <f t="shared" si="15"/>
        <v>881367.65711881</v>
      </c>
      <c r="L34" s="18">
        <f t="shared" si="16"/>
        <v>2309349.27288119</v>
      </c>
      <c r="M34" s="18">
        <f t="shared" si="3"/>
        <v>111415509.710191</v>
      </c>
      <c r="O34" s="17">
        <f t="shared" si="17"/>
        <v>46465</v>
      </c>
      <c r="P34" s="18">
        <f t="shared" si="18"/>
        <v>95536168.3766137</v>
      </c>
      <c r="Q34" s="25">
        <v>2179909.42</v>
      </c>
      <c r="R34" s="18">
        <f t="shared" si="19"/>
        <v>740405.304918756</v>
      </c>
      <c r="S34" s="18">
        <f t="shared" si="20"/>
        <v>1439504.11508124</v>
      </c>
      <c r="T34" s="18">
        <f t="shared" si="4"/>
        <v>94096664.2615325</v>
      </c>
      <c r="V34" s="23">
        <f t="shared" si="5"/>
        <v>448906844.219696</v>
      </c>
      <c r="W34" s="23">
        <f t="shared" si="6"/>
        <v>9985165.18</v>
      </c>
      <c r="X34" s="23">
        <f t="shared" si="7"/>
        <v>3479028.04270265</v>
      </c>
      <c r="Y34" s="23">
        <f t="shared" si="8"/>
        <v>6506137.13729735</v>
      </c>
      <c r="Z34" s="23">
        <f t="shared" si="9"/>
        <v>442400707.082399</v>
      </c>
    </row>
    <row r="35" spans="1:26">
      <c r="A35" s="17">
        <f t="shared" si="10"/>
        <v>46496</v>
      </c>
      <c r="B35" s="18">
        <f t="shared" si="11"/>
        <v>236888533.110675</v>
      </c>
      <c r="C35" s="18">
        <f>4674026.28</f>
        <v>4674026.28</v>
      </c>
      <c r="D35" s="18">
        <f t="shared" si="21"/>
        <v>1835886.13160773</v>
      </c>
      <c r="E35" s="18">
        <f t="shared" si="22"/>
        <v>2838140.14839227</v>
      </c>
      <c r="F35" s="18">
        <f t="shared" si="23"/>
        <v>234050392.962283</v>
      </c>
      <c r="H35" s="17">
        <f t="shared" si="13"/>
        <v>46496</v>
      </c>
      <c r="I35" s="18">
        <f t="shared" si="14"/>
        <v>111415509.710191</v>
      </c>
      <c r="J35" s="21">
        <v>3144412.92</v>
      </c>
      <c r="K35" s="18">
        <f t="shared" si="15"/>
        <v>863470.20025398</v>
      </c>
      <c r="L35" s="18">
        <f t="shared" si="16"/>
        <v>2280942.71974602</v>
      </c>
      <c r="M35" s="18">
        <f t="shared" si="3"/>
        <v>109134566.990445</v>
      </c>
      <c r="O35" s="17">
        <f t="shared" si="17"/>
        <v>46496</v>
      </c>
      <c r="P35" s="18">
        <f t="shared" si="18"/>
        <v>94096664.2615325</v>
      </c>
      <c r="Q35" s="25">
        <v>2144859.89</v>
      </c>
      <c r="R35" s="18">
        <f t="shared" si="19"/>
        <v>729249.148026877</v>
      </c>
      <c r="S35" s="18">
        <f t="shared" si="20"/>
        <v>1415610.74197312</v>
      </c>
      <c r="T35" s="18">
        <f t="shared" si="4"/>
        <v>92681053.5195594</v>
      </c>
      <c r="V35" s="23">
        <f t="shared" si="5"/>
        <v>442400707.082399</v>
      </c>
      <c r="W35" s="23">
        <f t="shared" si="6"/>
        <v>9963299.09</v>
      </c>
      <c r="X35" s="23">
        <f t="shared" si="7"/>
        <v>3428605.47988859</v>
      </c>
      <c r="Y35" s="23">
        <f t="shared" si="8"/>
        <v>6534693.61011141</v>
      </c>
      <c r="Z35" s="23">
        <f t="shared" si="9"/>
        <v>435866013.472287</v>
      </c>
    </row>
    <row r="36" spans="1:26">
      <c r="A36" s="17">
        <f t="shared" si="10"/>
        <v>46527</v>
      </c>
      <c r="B36" s="18">
        <f t="shared" si="11"/>
        <v>234050392.962283</v>
      </c>
      <c r="C36" s="18">
        <f>1788717.66+2822690</f>
        <v>4611407.66</v>
      </c>
      <c r="D36" s="18">
        <f t="shared" si="21"/>
        <v>1813890.54545769</v>
      </c>
      <c r="E36" s="18">
        <f t="shared" si="22"/>
        <v>2797517.11454231</v>
      </c>
      <c r="F36" s="18">
        <f t="shared" si="23"/>
        <v>231252875.847741</v>
      </c>
      <c r="H36" s="17">
        <f t="shared" si="13"/>
        <v>46527</v>
      </c>
      <c r="I36" s="18">
        <f t="shared" si="14"/>
        <v>109134566.990445</v>
      </c>
      <c r="J36" s="21">
        <v>3154377.07</v>
      </c>
      <c r="K36" s="18">
        <f t="shared" si="15"/>
        <v>845792.894175949</v>
      </c>
      <c r="L36" s="18">
        <f t="shared" si="16"/>
        <v>2308584.17582405</v>
      </c>
      <c r="M36" s="18">
        <f t="shared" si="3"/>
        <v>106825982.814621</v>
      </c>
      <c r="O36" s="17">
        <f t="shared" si="17"/>
        <v>46527</v>
      </c>
      <c r="P36" s="18">
        <f t="shared" si="18"/>
        <v>92681053.5195594</v>
      </c>
      <c r="Q36" s="25">
        <v>2157273.27</v>
      </c>
      <c r="R36" s="18">
        <f t="shared" si="19"/>
        <v>718278.164776585</v>
      </c>
      <c r="S36" s="18">
        <f t="shared" si="20"/>
        <v>1438995.10522341</v>
      </c>
      <c r="T36" s="18">
        <f t="shared" si="4"/>
        <v>91242058.414336</v>
      </c>
      <c r="V36" s="23">
        <f t="shared" si="5"/>
        <v>435866013.472287</v>
      </c>
      <c r="W36" s="23">
        <f t="shared" si="6"/>
        <v>9923058</v>
      </c>
      <c r="X36" s="23">
        <f t="shared" si="7"/>
        <v>3377961.60441023</v>
      </c>
      <c r="Y36" s="23">
        <f t="shared" si="8"/>
        <v>6545096.39558977</v>
      </c>
      <c r="Z36" s="23">
        <f t="shared" si="9"/>
        <v>429320917.076698</v>
      </c>
    </row>
    <row r="37" spans="1:26">
      <c r="A37" s="17">
        <f t="shared" si="10"/>
        <v>46558</v>
      </c>
      <c r="B37" s="18">
        <f t="shared" si="11"/>
        <v>231252875.847741</v>
      </c>
      <c r="C37" s="18">
        <v>4669449.41</v>
      </c>
      <c r="D37" s="18">
        <f t="shared" si="21"/>
        <v>1792209.78781999</v>
      </c>
      <c r="E37" s="18">
        <f t="shared" si="22"/>
        <v>2877239.62218001</v>
      </c>
      <c r="F37" s="18">
        <f t="shared" si="23"/>
        <v>228375636.225561</v>
      </c>
      <c r="H37" s="17">
        <f t="shared" si="13"/>
        <v>46558</v>
      </c>
      <c r="I37" s="18">
        <f t="shared" si="14"/>
        <v>106825982.814621</v>
      </c>
      <c r="J37" s="21">
        <v>3109245.31</v>
      </c>
      <c r="K37" s="18">
        <f t="shared" si="15"/>
        <v>827901.366813312</v>
      </c>
      <c r="L37" s="18">
        <f t="shared" si="16"/>
        <v>2281343.94318669</v>
      </c>
      <c r="M37" s="18">
        <f t="shared" si="3"/>
        <v>104544638.871434</v>
      </c>
      <c r="O37" s="17">
        <f t="shared" si="17"/>
        <v>46558</v>
      </c>
      <c r="P37" s="18">
        <f t="shared" si="18"/>
        <v>91242058.414336</v>
      </c>
      <c r="Q37" s="25">
        <v>2122953.94</v>
      </c>
      <c r="R37" s="18">
        <f t="shared" si="19"/>
        <v>707125.952711104</v>
      </c>
      <c r="S37" s="18">
        <f t="shared" si="20"/>
        <v>1415827.9872889</v>
      </c>
      <c r="T37" s="18">
        <f t="shared" si="4"/>
        <v>89826230.4270471</v>
      </c>
      <c r="V37" s="23">
        <f t="shared" si="5"/>
        <v>429320917.076698</v>
      </c>
      <c r="W37" s="23">
        <f t="shared" si="6"/>
        <v>9901648.66</v>
      </c>
      <c r="X37" s="23">
        <f t="shared" si="7"/>
        <v>3327237.10734441</v>
      </c>
      <c r="Y37" s="23">
        <f t="shared" si="8"/>
        <v>6574411.55265559</v>
      </c>
      <c r="Z37" s="23">
        <f t="shared" si="9"/>
        <v>422746505.524042</v>
      </c>
    </row>
    <row r="38" spans="1:26">
      <c r="A38" s="17">
        <f t="shared" ref="A38:A56" si="24">A37+31</f>
        <v>46589</v>
      </c>
      <c r="B38" s="18">
        <f t="shared" si="11"/>
        <v>228375636.225561</v>
      </c>
      <c r="C38" s="18">
        <f>1745412.47+2862820</f>
        <v>4608232.47</v>
      </c>
      <c r="D38" s="18">
        <f t="shared" si="21"/>
        <v>1769911.1807481</v>
      </c>
      <c r="E38" s="18">
        <f t="shared" si="22"/>
        <v>2838321.2892519</v>
      </c>
      <c r="F38" s="18">
        <f t="shared" si="23"/>
        <v>225537314.936309</v>
      </c>
      <c r="H38" s="17">
        <f t="shared" ref="H38:H56" si="25">H37+31</f>
        <v>46589</v>
      </c>
      <c r="I38" s="18">
        <f t="shared" si="14"/>
        <v>104544638.871434</v>
      </c>
      <c r="J38" s="21">
        <v>3118037.21</v>
      </c>
      <c r="K38" s="18">
        <f t="shared" si="15"/>
        <v>810220.951253616</v>
      </c>
      <c r="L38" s="18">
        <f t="shared" si="16"/>
        <v>2307816.25874638</v>
      </c>
      <c r="M38" s="18">
        <f t="shared" si="3"/>
        <v>102236822.612688</v>
      </c>
      <c r="O38" s="17">
        <f t="shared" ref="O38:O56" si="26">O37+31</f>
        <v>46589</v>
      </c>
      <c r="P38" s="18">
        <f t="shared" si="18"/>
        <v>89826230.4270471</v>
      </c>
      <c r="Q38" s="25">
        <v>2134637.11</v>
      </c>
      <c r="R38" s="18">
        <f t="shared" si="19"/>
        <v>696153.285809615</v>
      </c>
      <c r="S38" s="18">
        <f t="shared" si="20"/>
        <v>1438483.82419039</v>
      </c>
      <c r="T38" s="18">
        <f t="shared" si="4"/>
        <v>88387746.6028567</v>
      </c>
      <c r="V38" s="23">
        <f t="shared" si="5"/>
        <v>422746505.524042</v>
      </c>
      <c r="W38" s="23">
        <f t="shared" si="6"/>
        <v>9860906.79</v>
      </c>
      <c r="X38" s="23">
        <f t="shared" si="7"/>
        <v>3276285.41781133</v>
      </c>
      <c r="Y38" s="23">
        <f t="shared" si="8"/>
        <v>6584621.37218867</v>
      </c>
      <c r="Z38" s="23">
        <f t="shared" si="9"/>
        <v>416161884.151853</v>
      </c>
    </row>
    <row r="39" spans="1:26">
      <c r="A39" s="17">
        <f t="shared" si="24"/>
        <v>46620</v>
      </c>
      <c r="B39" s="18">
        <f t="shared" si="11"/>
        <v>225537314.936309</v>
      </c>
      <c r="C39" s="18">
        <f>1781709.97+2883098</f>
        <v>4664807.97</v>
      </c>
      <c r="D39" s="18">
        <f t="shared" si="21"/>
        <v>1747914.19075639</v>
      </c>
      <c r="E39" s="18">
        <f t="shared" si="22"/>
        <v>2916893.77924361</v>
      </c>
      <c r="F39" s="18">
        <f t="shared" si="23"/>
        <v>222620421.157065</v>
      </c>
      <c r="H39" s="17">
        <f t="shared" si="25"/>
        <v>46620</v>
      </c>
      <c r="I39" s="18">
        <f t="shared" si="14"/>
        <v>102236822.612688</v>
      </c>
      <c r="J39" s="21">
        <v>3099867.28</v>
      </c>
      <c r="K39" s="18">
        <f t="shared" si="15"/>
        <v>792335.375248331</v>
      </c>
      <c r="L39" s="18">
        <f t="shared" si="16"/>
        <v>2307531.90475167</v>
      </c>
      <c r="M39" s="18">
        <f t="shared" si="3"/>
        <v>99929290.7079362</v>
      </c>
      <c r="O39" s="17">
        <f t="shared" si="26"/>
        <v>46620</v>
      </c>
      <c r="P39" s="18">
        <f t="shared" si="18"/>
        <v>88387746.6028567</v>
      </c>
      <c r="Q39" s="25">
        <v>2123319.04</v>
      </c>
      <c r="R39" s="18">
        <f t="shared" si="19"/>
        <v>685005.036172139</v>
      </c>
      <c r="S39" s="18">
        <f t="shared" si="20"/>
        <v>1438314.00382786</v>
      </c>
      <c r="T39" s="18">
        <f t="shared" si="4"/>
        <v>86949432.5990288</v>
      </c>
      <c r="V39" s="23">
        <f t="shared" si="5"/>
        <v>416161884.151853</v>
      </c>
      <c r="W39" s="23">
        <f t="shared" si="6"/>
        <v>9887994.29</v>
      </c>
      <c r="X39" s="23">
        <f t="shared" si="7"/>
        <v>3225254.60217686</v>
      </c>
      <c r="Y39" s="23">
        <f t="shared" si="8"/>
        <v>6662739.68782314</v>
      </c>
      <c r="Z39" s="23">
        <f t="shared" si="9"/>
        <v>409499144.46403</v>
      </c>
    </row>
    <row r="40" spans="1:26">
      <c r="A40" s="17">
        <f t="shared" si="24"/>
        <v>46651</v>
      </c>
      <c r="B40" s="18">
        <f t="shared" si="11"/>
        <v>222620421.157065</v>
      </c>
      <c r="C40" s="18">
        <f>4662462.6</f>
        <v>4662462.6</v>
      </c>
      <c r="D40" s="18">
        <f t="shared" si="21"/>
        <v>1725308.26396726</v>
      </c>
      <c r="E40" s="18">
        <f t="shared" si="22"/>
        <v>2937154.33603274</v>
      </c>
      <c r="F40" s="18">
        <f t="shared" si="23"/>
        <v>219683266.821032</v>
      </c>
      <c r="H40" s="17">
        <f t="shared" si="25"/>
        <v>46651</v>
      </c>
      <c r="I40" s="18">
        <f t="shared" si="14"/>
        <v>99929290.7079362</v>
      </c>
      <c r="J40" s="21">
        <v>3056493.89</v>
      </c>
      <c r="K40" s="18">
        <f t="shared" si="15"/>
        <v>774452.002986506</v>
      </c>
      <c r="L40" s="18">
        <f t="shared" si="16"/>
        <v>2282041.88701349</v>
      </c>
      <c r="M40" s="18">
        <f t="shared" si="3"/>
        <v>97647248.8209227</v>
      </c>
      <c r="O40" s="17">
        <f t="shared" si="26"/>
        <v>46651</v>
      </c>
      <c r="P40" s="18">
        <f t="shared" si="18"/>
        <v>86949432.5990288</v>
      </c>
      <c r="Q40" s="25">
        <v>2090095.01</v>
      </c>
      <c r="R40" s="18">
        <f t="shared" si="19"/>
        <v>673858.102642473</v>
      </c>
      <c r="S40" s="18">
        <f t="shared" si="20"/>
        <v>1416236.90735753</v>
      </c>
      <c r="T40" s="18">
        <f t="shared" si="4"/>
        <v>85533195.6916713</v>
      </c>
      <c r="V40" s="23">
        <f t="shared" si="5"/>
        <v>409499144.46403</v>
      </c>
      <c r="W40" s="23">
        <f t="shared" si="6"/>
        <v>9809051.5</v>
      </c>
      <c r="X40" s="23">
        <f t="shared" si="7"/>
        <v>3173618.36959623</v>
      </c>
      <c r="Y40" s="23">
        <f t="shared" si="8"/>
        <v>6635433.13040377</v>
      </c>
      <c r="Z40" s="23">
        <f t="shared" si="9"/>
        <v>402863711.333626</v>
      </c>
    </row>
    <row r="41" spans="1:26">
      <c r="A41" s="17">
        <f t="shared" si="24"/>
        <v>46682</v>
      </c>
      <c r="B41" s="18">
        <f t="shared" si="11"/>
        <v>219683266.821032</v>
      </c>
      <c r="C41" s="18">
        <f>1679297.59+2924087</f>
        <v>4603384.59</v>
      </c>
      <c r="D41" s="18">
        <f t="shared" si="21"/>
        <v>1702545.317863</v>
      </c>
      <c r="E41" s="18">
        <f t="shared" si="22"/>
        <v>2900839.272137</v>
      </c>
      <c r="F41" s="18">
        <f t="shared" si="23"/>
        <v>216782427.548895</v>
      </c>
      <c r="H41" s="17">
        <f t="shared" si="25"/>
        <v>46682</v>
      </c>
      <c r="I41" s="18">
        <f t="shared" si="14"/>
        <v>97647248.8209227</v>
      </c>
      <c r="J41" s="21">
        <v>3063527.41</v>
      </c>
      <c r="K41" s="18">
        <f t="shared" si="15"/>
        <v>756766.178362151</v>
      </c>
      <c r="L41" s="18">
        <f t="shared" si="16"/>
        <v>2306761.23163785</v>
      </c>
      <c r="M41" s="18">
        <f t="shared" si="3"/>
        <v>95340487.5892849</v>
      </c>
      <c r="O41" s="17">
        <f t="shared" si="26"/>
        <v>46682</v>
      </c>
      <c r="P41" s="18">
        <f t="shared" si="18"/>
        <v>85533195.6916713</v>
      </c>
      <c r="Q41" s="25">
        <v>2100682.88</v>
      </c>
      <c r="R41" s="18">
        <f t="shared" si="19"/>
        <v>662882.266610453</v>
      </c>
      <c r="S41" s="18">
        <f t="shared" si="20"/>
        <v>1437800.61338955</v>
      </c>
      <c r="T41" s="18">
        <f t="shared" si="4"/>
        <v>84095395.0782817</v>
      </c>
      <c r="V41" s="23">
        <f t="shared" si="5"/>
        <v>402863711.333626</v>
      </c>
      <c r="W41" s="23">
        <f t="shared" si="6"/>
        <v>9767594.88</v>
      </c>
      <c r="X41" s="23">
        <f t="shared" si="7"/>
        <v>3122193.76283561</v>
      </c>
      <c r="Y41" s="23">
        <f t="shared" si="8"/>
        <v>6645401.1171644</v>
      </c>
      <c r="Z41" s="23">
        <f t="shared" si="9"/>
        <v>396218310.216462</v>
      </c>
    </row>
    <row r="42" spans="1:26">
      <c r="A42" s="17">
        <f t="shared" si="24"/>
        <v>46713</v>
      </c>
      <c r="B42" s="18">
        <f t="shared" si="11"/>
        <v>216782427.548895</v>
      </c>
      <c r="C42" s="18">
        <f>4657721.94</f>
        <v>4657721.94</v>
      </c>
      <c r="D42" s="18">
        <f t="shared" si="21"/>
        <v>1680063.81350394</v>
      </c>
      <c r="E42" s="18">
        <f t="shared" si="22"/>
        <v>2977658.12649606</v>
      </c>
      <c r="F42" s="18">
        <f t="shared" si="23"/>
        <v>213804769.422399</v>
      </c>
      <c r="H42" s="17">
        <f t="shared" si="25"/>
        <v>46713</v>
      </c>
      <c r="I42" s="18">
        <f t="shared" si="14"/>
        <v>95340487.5892849</v>
      </c>
      <c r="J42" s="21">
        <v>3021326.29</v>
      </c>
      <c r="K42" s="18">
        <f t="shared" si="15"/>
        <v>738888.778816958</v>
      </c>
      <c r="L42" s="18">
        <f t="shared" si="16"/>
        <v>2282437.51118304</v>
      </c>
      <c r="M42" s="18">
        <f t="shared" si="3"/>
        <v>93058050.0781018</v>
      </c>
      <c r="O42" s="17">
        <f t="shared" si="26"/>
        <v>46713</v>
      </c>
      <c r="P42" s="18">
        <f t="shared" si="18"/>
        <v>84095395.0782817</v>
      </c>
      <c r="Q42" s="25">
        <v>2068189.06</v>
      </c>
      <c r="R42" s="18">
        <f t="shared" si="19"/>
        <v>651739.311856683</v>
      </c>
      <c r="S42" s="18">
        <f t="shared" si="20"/>
        <v>1416449.74814332</v>
      </c>
      <c r="T42" s="18">
        <f t="shared" si="4"/>
        <v>82678945.3301384</v>
      </c>
      <c r="V42" s="23">
        <f t="shared" si="5"/>
        <v>396218310.216462</v>
      </c>
      <c r="W42" s="23">
        <f t="shared" si="6"/>
        <v>9747237.29</v>
      </c>
      <c r="X42" s="23">
        <f t="shared" si="7"/>
        <v>3070691.90417758</v>
      </c>
      <c r="Y42" s="23">
        <f t="shared" si="8"/>
        <v>6676545.38582242</v>
      </c>
      <c r="Z42" s="23">
        <f t="shared" si="9"/>
        <v>389541764.83064</v>
      </c>
    </row>
    <row r="43" spans="1:26">
      <c r="A43" s="17">
        <f t="shared" si="24"/>
        <v>46744</v>
      </c>
      <c r="B43" s="18">
        <f t="shared" si="11"/>
        <v>213804769.422399</v>
      </c>
      <c r="C43" s="18">
        <f>1634436.79+2965658</f>
        <v>4600094.79</v>
      </c>
      <c r="D43" s="18">
        <f t="shared" si="21"/>
        <v>1656986.9630236</v>
      </c>
      <c r="E43" s="18">
        <f t="shared" si="22"/>
        <v>2943107.8269764</v>
      </c>
      <c r="F43" s="18">
        <f t="shared" si="23"/>
        <v>210861661.595423</v>
      </c>
      <c r="H43" s="17">
        <f t="shared" si="25"/>
        <v>46744</v>
      </c>
      <c r="I43" s="18">
        <f t="shared" si="14"/>
        <v>93058050.0781018</v>
      </c>
      <c r="J43" s="21">
        <v>3027187.55</v>
      </c>
      <c r="K43" s="18">
        <f t="shared" si="15"/>
        <v>721199.888105289</v>
      </c>
      <c r="L43" s="18">
        <f t="shared" si="16"/>
        <v>2305987.66189471</v>
      </c>
      <c r="M43" s="18">
        <f t="shared" si="3"/>
        <v>90752062.4162071</v>
      </c>
      <c r="O43" s="17">
        <f t="shared" si="26"/>
        <v>46744</v>
      </c>
      <c r="P43" s="18">
        <f t="shared" si="18"/>
        <v>82678945.3301384</v>
      </c>
      <c r="Q43" s="25">
        <v>2078046.73</v>
      </c>
      <c r="R43" s="18">
        <f t="shared" si="19"/>
        <v>640761.826308573</v>
      </c>
      <c r="S43" s="18">
        <f t="shared" si="20"/>
        <v>1437284.90369143</v>
      </c>
      <c r="T43" s="18">
        <f t="shared" si="4"/>
        <v>81241660.426447</v>
      </c>
      <c r="V43" s="23">
        <f t="shared" si="5"/>
        <v>389541764.83064</v>
      </c>
      <c r="W43" s="23">
        <f t="shared" si="6"/>
        <v>9705329.07</v>
      </c>
      <c r="X43" s="23">
        <f t="shared" si="7"/>
        <v>3018948.67743746</v>
      </c>
      <c r="Y43" s="23">
        <f t="shared" si="8"/>
        <v>6686380.39256254</v>
      </c>
      <c r="Z43" s="23">
        <f t="shared" si="9"/>
        <v>382855384.438077</v>
      </c>
    </row>
    <row r="44" spans="1:26">
      <c r="A44" s="17">
        <f t="shared" si="24"/>
        <v>46775</v>
      </c>
      <c r="B44" s="18">
        <f t="shared" si="11"/>
        <v>210861661.595423</v>
      </c>
      <c r="C44" s="18">
        <f>1661992.08+2458899</f>
        <v>4120891.08</v>
      </c>
      <c r="D44" s="18">
        <f t="shared" si="21"/>
        <v>1634177.87736453</v>
      </c>
      <c r="E44" s="18">
        <f t="shared" si="22"/>
        <v>2486713.20263547</v>
      </c>
      <c r="F44" s="18">
        <f t="shared" si="23"/>
        <v>208374948.392788</v>
      </c>
      <c r="H44" s="17">
        <f t="shared" si="25"/>
        <v>46775</v>
      </c>
      <c r="I44" s="18">
        <f t="shared" si="14"/>
        <v>90752062.4162071</v>
      </c>
      <c r="J44" s="21">
        <v>3007143.93</v>
      </c>
      <c r="K44" s="18">
        <f t="shared" si="15"/>
        <v>703328.483725605</v>
      </c>
      <c r="L44" s="18">
        <f t="shared" si="16"/>
        <v>2303815.4462744</v>
      </c>
      <c r="M44" s="18">
        <f t="shared" si="3"/>
        <v>88448246.9699327</v>
      </c>
      <c r="O44" s="17">
        <f t="shared" si="26"/>
        <v>46775</v>
      </c>
      <c r="P44" s="18">
        <f t="shared" si="18"/>
        <v>81241660.426447</v>
      </c>
      <c r="Q44" s="25">
        <v>2065052.79</v>
      </c>
      <c r="R44" s="18">
        <f t="shared" si="19"/>
        <v>629622.868304964</v>
      </c>
      <c r="S44" s="18">
        <f t="shared" si="20"/>
        <v>1435429.92169504</v>
      </c>
      <c r="T44" s="18">
        <f t="shared" si="4"/>
        <v>79806230.504752</v>
      </c>
      <c r="V44" s="23">
        <f t="shared" si="5"/>
        <v>382855384.438077</v>
      </c>
      <c r="W44" s="23">
        <f t="shared" si="6"/>
        <v>9193087.8</v>
      </c>
      <c r="X44" s="23">
        <f t="shared" si="7"/>
        <v>2967129.2293951</v>
      </c>
      <c r="Y44" s="23">
        <f t="shared" si="8"/>
        <v>6225958.5706049</v>
      </c>
      <c r="Z44" s="23">
        <f t="shared" si="9"/>
        <v>376629425.867472</v>
      </c>
    </row>
    <row r="45" spans="1:26">
      <c r="A45" s="17">
        <f t="shared" si="24"/>
        <v>46806</v>
      </c>
      <c r="B45" s="18">
        <f t="shared" si="11"/>
        <v>208374948.392788</v>
      </c>
      <c r="C45" s="20">
        <f>4065560.78</f>
        <v>4065560.78</v>
      </c>
      <c r="D45" s="18">
        <f t="shared" si="21"/>
        <v>1614905.8500441</v>
      </c>
      <c r="E45" s="18">
        <f t="shared" si="22"/>
        <v>2450654.9299559</v>
      </c>
      <c r="F45" s="18">
        <f t="shared" si="23"/>
        <v>205924293.462832</v>
      </c>
      <c r="H45" s="17">
        <f t="shared" si="25"/>
        <v>46806</v>
      </c>
      <c r="I45" s="18">
        <f t="shared" si="14"/>
        <v>88448246.9699327</v>
      </c>
      <c r="J45" s="21">
        <v>2944537.26</v>
      </c>
      <c r="K45" s="18">
        <f t="shared" si="15"/>
        <v>685473.914016979</v>
      </c>
      <c r="L45" s="18">
        <f t="shared" si="16"/>
        <v>2259063.34598302</v>
      </c>
      <c r="M45" s="18">
        <f t="shared" si="3"/>
        <v>86189183.6239497</v>
      </c>
      <c r="O45" s="17">
        <f t="shared" si="26"/>
        <v>46806</v>
      </c>
      <c r="P45" s="18">
        <f t="shared" si="18"/>
        <v>79806230.504752</v>
      </c>
      <c r="Q45" s="25">
        <v>2013658.59</v>
      </c>
      <c r="R45" s="18">
        <f t="shared" si="19"/>
        <v>618498.286411828</v>
      </c>
      <c r="S45" s="18">
        <f t="shared" si="20"/>
        <v>1395160.30358817</v>
      </c>
      <c r="T45" s="18">
        <f t="shared" si="4"/>
        <v>78411070.2011638</v>
      </c>
      <c r="V45" s="23">
        <f t="shared" si="5"/>
        <v>376629425.867472</v>
      </c>
      <c r="W45" s="23">
        <f t="shared" si="6"/>
        <v>9023756.63</v>
      </c>
      <c r="X45" s="23">
        <f t="shared" si="7"/>
        <v>2918878.05047291</v>
      </c>
      <c r="Y45" s="23">
        <f t="shared" si="8"/>
        <v>6104878.57952709</v>
      </c>
      <c r="Z45" s="23">
        <f t="shared" si="9"/>
        <v>370524547.287945</v>
      </c>
    </row>
    <row r="46" spans="1:26">
      <c r="A46" s="17">
        <f t="shared" si="24"/>
        <v>46837</v>
      </c>
      <c r="B46" s="18">
        <f t="shared" si="11"/>
        <v>205924293.462832</v>
      </c>
      <c r="C46" s="20">
        <f>1569743.16+2493857</f>
        <v>4063600.16</v>
      </c>
      <c r="D46" s="18">
        <f t="shared" si="21"/>
        <v>1595913.27433695</v>
      </c>
      <c r="E46" s="18">
        <f t="shared" si="22"/>
        <v>2467686.88566305</v>
      </c>
      <c r="F46" s="18">
        <f t="shared" si="23"/>
        <v>203456606.577169</v>
      </c>
      <c r="H46" s="17">
        <f t="shared" si="25"/>
        <v>46837</v>
      </c>
      <c r="I46" s="18">
        <f t="shared" si="14"/>
        <v>86189183.6239497</v>
      </c>
      <c r="J46" s="21">
        <v>2970840.9</v>
      </c>
      <c r="K46" s="18">
        <f t="shared" si="15"/>
        <v>667966.17308561</v>
      </c>
      <c r="L46" s="18">
        <f t="shared" si="16"/>
        <v>2302874.72691439</v>
      </c>
      <c r="M46" s="18">
        <f t="shared" si="3"/>
        <v>83886308.8970353</v>
      </c>
      <c r="O46" s="17">
        <f t="shared" si="26"/>
        <v>46837</v>
      </c>
      <c r="P46" s="18">
        <f t="shared" si="18"/>
        <v>78411070.2011638</v>
      </c>
      <c r="Q46" s="25">
        <v>2042422.62</v>
      </c>
      <c r="R46" s="18">
        <f t="shared" si="19"/>
        <v>607685.794059019</v>
      </c>
      <c r="S46" s="18">
        <f t="shared" si="20"/>
        <v>1434736.82594098</v>
      </c>
      <c r="T46" s="18">
        <f t="shared" si="4"/>
        <v>76976333.3752228</v>
      </c>
      <c r="V46" s="23">
        <f t="shared" si="5"/>
        <v>370524547.287945</v>
      </c>
      <c r="W46" s="23">
        <f t="shared" si="6"/>
        <v>9076863.68</v>
      </c>
      <c r="X46" s="23">
        <f t="shared" si="7"/>
        <v>2871565.24148157</v>
      </c>
      <c r="Y46" s="23">
        <f t="shared" si="8"/>
        <v>6205298.43851842</v>
      </c>
      <c r="Z46" s="23">
        <f t="shared" si="9"/>
        <v>364319248.849427</v>
      </c>
    </row>
    <row r="47" spans="1:26">
      <c r="A47" s="17">
        <f t="shared" si="24"/>
        <v>46868</v>
      </c>
      <c r="B47" s="18">
        <f t="shared" si="11"/>
        <v>203456606.577169</v>
      </c>
      <c r="C47" s="20">
        <v>4114579.37</v>
      </c>
      <c r="D47" s="18">
        <f t="shared" si="21"/>
        <v>1576788.70097306</v>
      </c>
      <c r="E47" s="18">
        <f t="shared" si="22"/>
        <v>2537790.66902694</v>
      </c>
      <c r="F47" s="18">
        <f t="shared" si="23"/>
        <v>200918815.908142</v>
      </c>
      <c r="H47" s="17">
        <f t="shared" si="25"/>
        <v>46868</v>
      </c>
      <c r="I47" s="18">
        <f t="shared" si="14"/>
        <v>83886308.8970353</v>
      </c>
      <c r="J47" s="21">
        <v>2931677.7</v>
      </c>
      <c r="K47" s="18">
        <f t="shared" si="15"/>
        <v>650118.893952024</v>
      </c>
      <c r="L47" s="18">
        <f t="shared" si="16"/>
        <v>2281558.80604798</v>
      </c>
      <c r="M47" s="18">
        <f t="shared" si="3"/>
        <v>81604750.0909873</v>
      </c>
      <c r="O47" s="17">
        <f t="shared" si="26"/>
        <v>46868</v>
      </c>
      <c r="P47" s="18">
        <f t="shared" si="18"/>
        <v>76976333.3752228</v>
      </c>
      <c r="Q47" s="25">
        <v>2011838.08</v>
      </c>
      <c r="R47" s="18">
        <f t="shared" si="19"/>
        <v>596566.583657977</v>
      </c>
      <c r="S47" s="18">
        <f t="shared" si="20"/>
        <v>1415271.49634202</v>
      </c>
      <c r="T47" s="18">
        <f t="shared" si="4"/>
        <v>75561061.8788808</v>
      </c>
      <c r="V47" s="23">
        <f t="shared" si="5"/>
        <v>364319248.849427</v>
      </c>
      <c r="W47" s="23">
        <f t="shared" si="6"/>
        <v>9058095.15</v>
      </c>
      <c r="X47" s="23">
        <f t="shared" si="7"/>
        <v>2823474.17858306</v>
      </c>
      <c r="Y47" s="23">
        <f t="shared" si="8"/>
        <v>6234620.97141694</v>
      </c>
      <c r="Z47" s="23">
        <f t="shared" si="9"/>
        <v>358084627.87801</v>
      </c>
    </row>
    <row r="48" spans="1:26">
      <c r="A48" s="17">
        <f t="shared" si="24"/>
        <v>46899</v>
      </c>
      <c r="B48" s="18">
        <f t="shared" si="11"/>
        <v>200918815.908142</v>
      </c>
      <c r="C48" s="20">
        <f>1531587.39+2529312</f>
        <v>4060899.39</v>
      </c>
      <c r="D48" s="18">
        <f t="shared" si="21"/>
        <v>1557120.8232881</v>
      </c>
      <c r="E48" s="18">
        <f t="shared" si="22"/>
        <v>2503778.5667119</v>
      </c>
      <c r="F48" s="18">
        <f t="shared" si="23"/>
        <v>198415037.34143</v>
      </c>
      <c r="H48" s="17">
        <f t="shared" si="25"/>
        <v>46899</v>
      </c>
      <c r="I48" s="18">
        <f t="shared" si="14"/>
        <v>81604750.0909873</v>
      </c>
      <c r="J48" s="21">
        <v>2934600.33</v>
      </c>
      <c r="K48" s="18">
        <f t="shared" si="15"/>
        <v>632436.813205152</v>
      </c>
      <c r="L48" s="18">
        <f t="shared" si="16"/>
        <v>2302163.51679485</v>
      </c>
      <c r="M48" s="18">
        <f t="shared" si="3"/>
        <v>79302586.5741925</v>
      </c>
      <c r="O48" s="17">
        <f t="shared" si="26"/>
        <v>46899</v>
      </c>
      <c r="P48" s="18">
        <f t="shared" si="18"/>
        <v>75561061.8788808</v>
      </c>
      <c r="Q48" s="25">
        <v>2019848.32</v>
      </c>
      <c r="R48" s="18">
        <f t="shared" si="19"/>
        <v>585598.229561326</v>
      </c>
      <c r="S48" s="18">
        <f t="shared" si="20"/>
        <v>1434250.09043867</v>
      </c>
      <c r="T48" s="18">
        <f t="shared" si="4"/>
        <v>74126811.7884421</v>
      </c>
      <c r="V48" s="23">
        <f t="shared" si="5"/>
        <v>358084627.87801</v>
      </c>
      <c r="W48" s="23">
        <f t="shared" si="6"/>
        <v>9015348.04</v>
      </c>
      <c r="X48" s="23">
        <f t="shared" si="7"/>
        <v>2775155.86605458</v>
      </c>
      <c r="Y48" s="23">
        <f t="shared" si="8"/>
        <v>6240192.17394543</v>
      </c>
      <c r="Z48" s="23">
        <f t="shared" si="9"/>
        <v>351844435.704064</v>
      </c>
    </row>
    <row r="49" spans="1:26">
      <c r="A49" s="17">
        <f t="shared" si="24"/>
        <v>46930</v>
      </c>
      <c r="B49" s="18">
        <f t="shared" si="11"/>
        <v>198415037.34143</v>
      </c>
      <c r="C49" s="20">
        <v>4110587.49</v>
      </c>
      <c r="D49" s="18">
        <f t="shared" si="21"/>
        <v>1537716.53939608</v>
      </c>
      <c r="E49" s="18">
        <f t="shared" si="22"/>
        <v>2572870.95060392</v>
      </c>
      <c r="F49" s="18">
        <f t="shared" si="23"/>
        <v>195842166.390826</v>
      </c>
      <c r="H49" s="17">
        <f t="shared" si="25"/>
        <v>46930</v>
      </c>
      <c r="I49" s="18">
        <f t="shared" si="14"/>
        <v>79302586.5741925</v>
      </c>
      <c r="J49" s="21">
        <v>2896606.18</v>
      </c>
      <c r="K49" s="18">
        <f t="shared" si="15"/>
        <v>614595.045949992</v>
      </c>
      <c r="L49" s="18">
        <f t="shared" si="16"/>
        <v>2282011.13405001</v>
      </c>
      <c r="M49" s="18">
        <f t="shared" si="3"/>
        <v>77020575.4401425</v>
      </c>
      <c r="O49" s="17">
        <f t="shared" si="26"/>
        <v>46930</v>
      </c>
      <c r="P49" s="18">
        <f t="shared" si="18"/>
        <v>74126811.7884421</v>
      </c>
      <c r="Q49" s="25">
        <v>1989991.98</v>
      </c>
      <c r="R49" s="18">
        <f t="shared" si="19"/>
        <v>574482.791360426</v>
      </c>
      <c r="S49" s="18">
        <f t="shared" si="20"/>
        <v>1415509.18863957</v>
      </c>
      <c r="T49" s="18">
        <f t="shared" si="4"/>
        <v>72711302.5998026</v>
      </c>
      <c r="V49" s="23">
        <f t="shared" si="5"/>
        <v>351844435.704064</v>
      </c>
      <c r="W49" s="23">
        <f t="shared" si="6"/>
        <v>8997185.65</v>
      </c>
      <c r="X49" s="23">
        <f t="shared" si="7"/>
        <v>2726794.3767065</v>
      </c>
      <c r="Y49" s="23">
        <f t="shared" si="8"/>
        <v>6270391.2732935</v>
      </c>
      <c r="Z49" s="23">
        <f t="shared" si="9"/>
        <v>345574044.430771</v>
      </c>
    </row>
    <row r="50" spans="1:26">
      <c r="A50" s="17">
        <f t="shared" si="24"/>
        <v>46961</v>
      </c>
      <c r="B50" s="18">
        <f t="shared" si="11"/>
        <v>195842166.390826</v>
      </c>
      <c r="C50" s="20">
        <f>1492889.18+2565270</f>
        <v>4058159.18</v>
      </c>
      <c r="D50" s="18">
        <f t="shared" si="21"/>
        <v>1517776.7895289</v>
      </c>
      <c r="E50" s="18">
        <f t="shared" si="22"/>
        <v>2540382.3904711</v>
      </c>
      <c r="F50" s="18">
        <f t="shared" si="23"/>
        <v>193301784.000355</v>
      </c>
      <c r="H50" s="17">
        <f t="shared" si="25"/>
        <v>46961</v>
      </c>
      <c r="I50" s="18">
        <f t="shared" si="14"/>
        <v>77020575.4401425</v>
      </c>
      <c r="J50" s="21">
        <v>2898359.75</v>
      </c>
      <c r="K50" s="18">
        <f t="shared" si="15"/>
        <v>596909.459661104</v>
      </c>
      <c r="L50" s="18">
        <f t="shared" si="16"/>
        <v>2301450.2903389</v>
      </c>
      <c r="M50" s="18">
        <f t="shared" si="3"/>
        <v>74719125.1498036</v>
      </c>
      <c r="O50" s="17">
        <f t="shared" si="26"/>
        <v>46961</v>
      </c>
      <c r="P50" s="18">
        <f t="shared" si="18"/>
        <v>72711302.5998026</v>
      </c>
      <c r="Q50" s="25">
        <v>1997274.01</v>
      </c>
      <c r="R50" s="18">
        <f t="shared" si="19"/>
        <v>563512.59514847</v>
      </c>
      <c r="S50" s="18">
        <f t="shared" si="20"/>
        <v>1433761.41485153</v>
      </c>
      <c r="T50" s="18">
        <f t="shared" si="4"/>
        <v>71277541.184951</v>
      </c>
      <c r="V50" s="23">
        <f t="shared" si="5"/>
        <v>345574044.430771</v>
      </c>
      <c r="W50" s="23">
        <f t="shared" si="6"/>
        <v>8953792.94</v>
      </c>
      <c r="X50" s="23">
        <f t="shared" si="7"/>
        <v>2678198.84433847</v>
      </c>
      <c r="Y50" s="23">
        <f t="shared" si="8"/>
        <v>6275594.09566153</v>
      </c>
      <c r="Z50" s="23">
        <f t="shared" si="9"/>
        <v>339298450.335109</v>
      </c>
    </row>
    <row r="51" spans="1:26">
      <c r="A51" s="17">
        <f t="shared" si="24"/>
        <v>46992</v>
      </c>
      <c r="B51" s="18">
        <f t="shared" si="11"/>
        <v>193301784.000355</v>
      </c>
      <c r="C51" s="20">
        <f>1523097.22+2583441</f>
        <v>4106538.22</v>
      </c>
      <c r="D51" s="18">
        <f t="shared" si="21"/>
        <v>1498088.82600275</v>
      </c>
      <c r="E51" s="18">
        <f t="shared" si="22"/>
        <v>2608449.39399725</v>
      </c>
      <c r="F51" s="18">
        <f t="shared" si="23"/>
        <v>190693334.606357</v>
      </c>
      <c r="H51" s="17">
        <f t="shared" si="25"/>
        <v>46992</v>
      </c>
      <c r="I51" s="18">
        <f t="shared" si="14"/>
        <v>74719125.1498036</v>
      </c>
      <c r="J51" s="21">
        <v>2880239.47</v>
      </c>
      <c r="K51" s="18">
        <f t="shared" si="15"/>
        <v>579073.219910978</v>
      </c>
      <c r="L51" s="18">
        <f t="shared" si="16"/>
        <v>2301166.25008902</v>
      </c>
      <c r="M51" s="18">
        <f t="shared" si="3"/>
        <v>72417958.8997146</v>
      </c>
      <c r="O51" s="17">
        <f t="shared" si="26"/>
        <v>46992</v>
      </c>
      <c r="P51" s="18">
        <f t="shared" si="18"/>
        <v>71277541.184951</v>
      </c>
      <c r="Q51" s="25">
        <v>1985986.86</v>
      </c>
      <c r="R51" s="18">
        <f t="shared" si="19"/>
        <v>552400.94418337</v>
      </c>
      <c r="S51" s="18">
        <f t="shared" si="20"/>
        <v>1433585.91581663</v>
      </c>
      <c r="T51" s="18">
        <f t="shared" si="4"/>
        <v>69843955.2691344</v>
      </c>
      <c r="V51" s="23">
        <f t="shared" si="5"/>
        <v>339298450.335109</v>
      </c>
      <c r="W51" s="23">
        <f t="shared" si="6"/>
        <v>8972764.55</v>
      </c>
      <c r="X51" s="23">
        <f t="shared" si="7"/>
        <v>2629562.9900971</v>
      </c>
      <c r="Y51" s="23">
        <f t="shared" si="8"/>
        <v>6343201.5599029</v>
      </c>
      <c r="Z51" s="23">
        <f t="shared" si="9"/>
        <v>332955248.775206</v>
      </c>
    </row>
    <row r="52" spans="1:26">
      <c r="A52" s="17">
        <f t="shared" si="24"/>
        <v>47023</v>
      </c>
      <c r="B52" s="18">
        <f t="shared" si="11"/>
        <v>190693334.606357</v>
      </c>
      <c r="C52" s="20">
        <f>4104492.95</f>
        <v>4104492.95</v>
      </c>
      <c r="D52" s="18">
        <f t="shared" si="21"/>
        <v>1477873.34319927</v>
      </c>
      <c r="E52" s="18">
        <f t="shared" si="22"/>
        <v>2626619.60680073</v>
      </c>
      <c r="F52" s="18">
        <f t="shared" si="23"/>
        <v>188066714.999557</v>
      </c>
      <c r="H52" s="17">
        <f t="shared" si="25"/>
        <v>47023</v>
      </c>
      <c r="I52" s="18">
        <f t="shared" si="14"/>
        <v>72417958.8997146</v>
      </c>
      <c r="J52" s="21">
        <v>2843998.89</v>
      </c>
      <c r="K52" s="18">
        <f t="shared" si="15"/>
        <v>561239.181472788</v>
      </c>
      <c r="L52" s="18">
        <f t="shared" si="16"/>
        <v>2282759.70852721</v>
      </c>
      <c r="M52" s="18">
        <f t="shared" si="3"/>
        <v>70135199.1911874</v>
      </c>
      <c r="O52" s="17">
        <f t="shared" si="26"/>
        <v>47023</v>
      </c>
      <c r="P52" s="18">
        <f t="shared" si="18"/>
        <v>69843955.2691344</v>
      </c>
      <c r="Q52" s="25">
        <v>1957222.83</v>
      </c>
      <c r="R52" s="18">
        <f t="shared" si="19"/>
        <v>541290.653335791</v>
      </c>
      <c r="S52" s="18">
        <f t="shared" si="20"/>
        <v>1415932.17666421</v>
      </c>
      <c r="T52" s="18">
        <f t="shared" si="4"/>
        <v>68428023.0924702</v>
      </c>
      <c r="V52" s="23">
        <f t="shared" si="5"/>
        <v>332955248.775206</v>
      </c>
      <c r="W52" s="23">
        <f t="shared" si="6"/>
        <v>8905714.67</v>
      </c>
      <c r="X52" s="23">
        <f t="shared" si="7"/>
        <v>2580403.17800785</v>
      </c>
      <c r="Y52" s="23">
        <f t="shared" si="8"/>
        <v>6325311.49199215</v>
      </c>
      <c r="Z52" s="23">
        <f t="shared" si="9"/>
        <v>326629937.283214</v>
      </c>
    </row>
    <row r="53" spans="1:26">
      <c r="A53" s="17">
        <f t="shared" si="24"/>
        <v>47054</v>
      </c>
      <c r="B53" s="18">
        <f t="shared" si="11"/>
        <v>188066714.999557</v>
      </c>
      <c r="C53" s="20">
        <f>1433807.87+2620170</f>
        <v>4053977.87</v>
      </c>
      <c r="D53" s="18">
        <f t="shared" si="21"/>
        <v>1457517.04124656</v>
      </c>
      <c r="E53" s="18">
        <f t="shared" si="22"/>
        <v>2596460.82875344</v>
      </c>
      <c r="F53" s="18">
        <f t="shared" si="23"/>
        <v>185470254.170803</v>
      </c>
      <c r="H53" s="17">
        <f t="shared" si="25"/>
        <v>47054</v>
      </c>
      <c r="I53" s="18">
        <f t="shared" si="14"/>
        <v>70135199.1911874</v>
      </c>
      <c r="J53" s="21">
        <v>2843998.9</v>
      </c>
      <c r="K53" s="18">
        <f t="shared" si="15"/>
        <v>543547.793731702</v>
      </c>
      <c r="L53" s="18">
        <f t="shared" si="16"/>
        <v>2300451.1062683</v>
      </c>
      <c r="M53" s="18">
        <f t="shared" si="3"/>
        <v>67834748.0849191</v>
      </c>
      <c r="O53" s="17">
        <f t="shared" si="26"/>
        <v>47054</v>
      </c>
      <c r="P53" s="18">
        <f t="shared" si="18"/>
        <v>68428023.0924702</v>
      </c>
      <c r="Q53" s="25">
        <v>1963412.55</v>
      </c>
      <c r="R53" s="18">
        <f t="shared" si="19"/>
        <v>530317.178966644</v>
      </c>
      <c r="S53" s="18">
        <f t="shared" si="20"/>
        <v>1433095.37103336</v>
      </c>
      <c r="T53" s="18">
        <f t="shared" si="4"/>
        <v>66994927.7214368</v>
      </c>
      <c r="V53" s="23">
        <f t="shared" si="5"/>
        <v>326629937.283214</v>
      </c>
      <c r="W53" s="23">
        <f t="shared" si="6"/>
        <v>8861389.32</v>
      </c>
      <c r="X53" s="23">
        <f t="shared" si="7"/>
        <v>2531382.01394491</v>
      </c>
      <c r="Y53" s="23">
        <f t="shared" si="8"/>
        <v>6330007.30605509</v>
      </c>
      <c r="Z53" s="23">
        <f t="shared" si="9"/>
        <v>320299929.977159</v>
      </c>
    </row>
    <row r="54" spans="1:26">
      <c r="A54" s="17">
        <f t="shared" si="24"/>
        <v>47085</v>
      </c>
      <c r="B54" s="18">
        <f t="shared" si="11"/>
        <v>185470254.170803</v>
      </c>
      <c r="C54" s="20">
        <f>4100357.03</f>
        <v>4100357.03</v>
      </c>
      <c r="D54" s="18">
        <f t="shared" si="21"/>
        <v>1437394.46982373</v>
      </c>
      <c r="E54" s="18">
        <f t="shared" si="22"/>
        <v>2662962.56017627</v>
      </c>
      <c r="F54" s="18">
        <f t="shared" si="23"/>
        <v>182807291.610627</v>
      </c>
      <c r="H54" s="17">
        <f t="shared" si="25"/>
        <v>47085</v>
      </c>
      <c r="I54" s="18">
        <f t="shared" si="14"/>
        <v>67834748.0849191</v>
      </c>
      <c r="J54" s="21">
        <v>2808927.36</v>
      </c>
      <c r="K54" s="18">
        <f t="shared" si="15"/>
        <v>525719.297658123</v>
      </c>
      <c r="L54" s="18">
        <f t="shared" si="16"/>
        <v>2283208.06234188</v>
      </c>
      <c r="M54" s="18">
        <f t="shared" si="3"/>
        <v>65551540.0225772</v>
      </c>
      <c r="O54" s="17">
        <f t="shared" si="26"/>
        <v>47085</v>
      </c>
      <c r="P54" s="18">
        <f t="shared" si="18"/>
        <v>66994927.7214368</v>
      </c>
      <c r="Q54" s="25">
        <v>1935376.73</v>
      </c>
      <c r="R54" s="18">
        <f t="shared" si="19"/>
        <v>519210.689841135</v>
      </c>
      <c r="S54" s="18">
        <f t="shared" si="20"/>
        <v>1416166.04015886</v>
      </c>
      <c r="T54" s="18">
        <f t="shared" si="4"/>
        <v>65578761.681278</v>
      </c>
      <c r="V54" s="23">
        <f t="shared" si="5"/>
        <v>320299929.977159</v>
      </c>
      <c r="W54" s="23">
        <f t="shared" si="6"/>
        <v>8844661.12</v>
      </c>
      <c r="X54" s="23">
        <f t="shared" si="7"/>
        <v>2482324.45732298</v>
      </c>
      <c r="Y54" s="23">
        <f t="shared" si="8"/>
        <v>6362336.66267702</v>
      </c>
      <c r="Z54" s="23">
        <f t="shared" si="9"/>
        <v>313937593.314482</v>
      </c>
    </row>
    <row r="55" spans="1:26">
      <c r="A55" s="17">
        <f t="shared" si="24"/>
        <v>47116</v>
      </c>
      <c r="B55" s="18">
        <f t="shared" si="11"/>
        <v>182807291.610627</v>
      </c>
      <c r="C55" s="20">
        <f>1393719.54+2657420</f>
        <v>4051139.54</v>
      </c>
      <c r="D55" s="18">
        <f t="shared" si="21"/>
        <v>1416756.50998236</v>
      </c>
      <c r="E55" s="18">
        <f t="shared" si="22"/>
        <v>2634383.03001764</v>
      </c>
      <c r="F55" s="18">
        <f t="shared" si="23"/>
        <v>180172908.580609</v>
      </c>
      <c r="H55" s="17">
        <f t="shared" si="25"/>
        <v>47116</v>
      </c>
      <c r="I55" s="18">
        <f t="shared" si="14"/>
        <v>65551540.0225772</v>
      </c>
      <c r="J55" s="21">
        <v>2807758.32</v>
      </c>
      <c r="K55" s="18">
        <f t="shared" si="15"/>
        <v>508024.435174973</v>
      </c>
      <c r="L55" s="18">
        <f t="shared" si="16"/>
        <v>2299733.88482503</v>
      </c>
      <c r="M55" s="18">
        <f t="shared" si="3"/>
        <v>63251806.1377522</v>
      </c>
      <c r="O55" s="17">
        <f t="shared" si="26"/>
        <v>47116</v>
      </c>
      <c r="P55" s="18">
        <f t="shared" si="18"/>
        <v>65578761.681278</v>
      </c>
      <c r="Q55" s="25">
        <v>1940838.24</v>
      </c>
      <c r="R55" s="18">
        <f t="shared" si="19"/>
        <v>508235.403029904</v>
      </c>
      <c r="S55" s="18">
        <f t="shared" si="20"/>
        <v>1432602.8369701</v>
      </c>
      <c r="T55" s="18">
        <f t="shared" si="4"/>
        <v>64146158.8443079</v>
      </c>
      <c r="V55" s="23">
        <f t="shared" si="5"/>
        <v>313937593.314482</v>
      </c>
      <c r="W55" s="23">
        <f t="shared" si="6"/>
        <v>8799736.1</v>
      </c>
      <c r="X55" s="23">
        <f t="shared" si="7"/>
        <v>2433016.34818724</v>
      </c>
      <c r="Y55" s="23">
        <f t="shared" si="8"/>
        <v>6366719.75181276</v>
      </c>
      <c r="Z55" s="23">
        <f t="shared" si="9"/>
        <v>307570873.562669</v>
      </c>
    </row>
    <row r="56" spans="1:26">
      <c r="A56" s="17">
        <f t="shared" si="24"/>
        <v>47147</v>
      </c>
      <c r="B56" s="18">
        <f t="shared" si="11"/>
        <v>180172908.580609</v>
      </c>
      <c r="C56" s="20">
        <f>1423556.95+2676243</f>
        <v>4099799.95</v>
      </c>
      <c r="D56" s="18">
        <f t="shared" si="21"/>
        <v>1396340.04149972</v>
      </c>
      <c r="E56" s="18">
        <f t="shared" si="22"/>
        <v>2703459.90850028</v>
      </c>
      <c r="F56" s="18">
        <f t="shared" si="23"/>
        <v>177469448.672109</v>
      </c>
      <c r="H56" s="17">
        <f t="shared" si="25"/>
        <v>47147</v>
      </c>
      <c r="I56" s="18">
        <f t="shared" si="14"/>
        <v>63251806.1377522</v>
      </c>
      <c r="J56" s="21">
        <v>2790935.2</v>
      </c>
      <c r="K56" s="18">
        <f t="shared" si="15"/>
        <v>490201.497567579</v>
      </c>
      <c r="L56" s="18">
        <f t="shared" si="16"/>
        <v>2300733.70243242</v>
      </c>
      <c r="M56" s="18">
        <f t="shared" si="3"/>
        <v>60951072.4353197</v>
      </c>
      <c r="O56" s="17">
        <f t="shared" si="26"/>
        <v>47147</v>
      </c>
      <c r="P56" s="18">
        <f t="shared" si="18"/>
        <v>64146158.8443079</v>
      </c>
      <c r="Q56" s="25">
        <v>1930867.85</v>
      </c>
      <c r="R56" s="18">
        <f t="shared" si="19"/>
        <v>497132.731043386</v>
      </c>
      <c r="S56" s="18">
        <f t="shared" si="20"/>
        <v>1433735.11895661</v>
      </c>
      <c r="T56" s="18">
        <f t="shared" si="4"/>
        <v>62712423.7253513</v>
      </c>
      <c r="V56" s="23">
        <f t="shared" si="5"/>
        <v>307570873.562669</v>
      </c>
      <c r="W56" s="23">
        <f t="shared" si="6"/>
        <v>8821603</v>
      </c>
      <c r="X56" s="23">
        <f t="shared" si="7"/>
        <v>2383674.27011069</v>
      </c>
      <c r="Y56" s="23">
        <f t="shared" si="8"/>
        <v>6437928.72988931</v>
      </c>
      <c r="Z56" s="23">
        <f t="shared" si="9"/>
        <v>301132944.83278</v>
      </c>
    </row>
    <row r="57" spans="1:26">
      <c r="A57" s="17">
        <f>A56+29</f>
        <v>47176</v>
      </c>
      <c r="B57" s="18">
        <f t="shared" si="11"/>
        <v>177469448.672109</v>
      </c>
      <c r="C57" s="20">
        <f>4007424.58</f>
        <v>4007424.58</v>
      </c>
      <c r="D57" s="18">
        <f t="shared" si="21"/>
        <v>1375388.22720885</v>
      </c>
      <c r="E57" s="18">
        <f t="shared" si="22"/>
        <v>2632036.35279115</v>
      </c>
      <c r="F57" s="18">
        <f t="shared" si="23"/>
        <v>174837412.319318</v>
      </c>
      <c r="H57" s="17">
        <f>H56+29</f>
        <v>47176</v>
      </c>
      <c r="I57" s="18">
        <f t="shared" si="14"/>
        <v>60951072.4353197</v>
      </c>
      <c r="J57" s="21">
        <v>2727090.61</v>
      </c>
      <c r="K57" s="18">
        <f t="shared" si="15"/>
        <v>472370.811373728</v>
      </c>
      <c r="L57" s="18">
        <f t="shared" si="16"/>
        <v>2254719.79862627</v>
      </c>
      <c r="M57" s="18">
        <f t="shared" si="3"/>
        <v>58696352.6366935</v>
      </c>
      <c r="O57" s="17">
        <f>O56+29</f>
        <v>47176</v>
      </c>
      <c r="P57" s="18">
        <f t="shared" si="18"/>
        <v>62712423.7253513</v>
      </c>
      <c r="Q57" s="25">
        <v>1872495.86</v>
      </c>
      <c r="R57" s="18">
        <f t="shared" si="19"/>
        <v>486021.283871472</v>
      </c>
      <c r="S57" s="18">
        <f t="shared" si="20"/>
        <v>1386474.57612853</v>
      </c>
      <c r="T57" s="18">
        <f t="shared" si="4"/>
        <v>61325949.1492227</v>
      </c>
      <c r="V57" s="23">
        <f t="shared" si="5"/>
        <v>301132944.83278</v>
      </c>
      <c r="W57" s="23">
        <f t="shared" si="6"/>
        <v>8607011.05</v>
      </c>
      <c r="X57" s="23">
        <f t="shared" si="7"/>
        <v>2333780.32245405</v>
      </c>
      <c r="Y57" s="23">
        <f t="shared" si="8"/>
        <v>6273230.72754595</v>
      </c>
      <c r="Z57" s="23">
        <f t="shared" si="9"/>
        <v>294859714.105234</v>
      </c>
    </row>
    <row r="58" spans="1:26">
      <c r="A58" s="17">
        <f>A57+31</f>
        <v>47207</v>
      </c>
      <c r="B58" s="18">
        <f t="shared" si="11"/>
        <v>174837412.319318</v>
      </c>
      <c r="C58" s="20">
        <f>1336166.64+2714291</f>
        <v>4050457.64</v>
      </c>
      <c r="D58" s="18">
        <f t="shared" si="21"/>
        <v>1354989.94547471</v>
      </c>
      <c r="E58" s="18">
        <f t="shared" si="22"/>
        <v>2695467.69452529</v>
      </c>
      <c r="F58" s="18">
        <f t="shared" si="23"/>
        <v>172141944.624793</v>
      </c>
      <c r="H58" s="17">
        <f>H57+31</f>
        <v>47207</v>
      </c>
      <c r="I58" s="18">
        <f t="shared" si="14"/>
        <v>58696352.6366935</v>
      </c>
      <c r="J58" s="21">
        <v>2754638.57</v>
      </c>
      <c r="K58" s="18">
        <f t="shared" si="15"/>
        <v>454896.732934374</v>
      </c>
      <c r="L58" s="18">
        <f t="shared" si="16"/>
        <v>2299741.83706563</v>
      </c>
      <c r="M58" s="18">
        <f t="shared" si="3"/>
        <v>56396610.7996278</v>
      </c>
      <c r="O58" s="17">
        <f>O57+31</f>
        <v>47207</v>
      </c>
      <c r="P58" s="18">
        <f t="shared" si="18"/>
        <v>61325949.1492227</v>
      </c>
      <c r="Q58" s="25">
        <v>1908275.59</v>
      </c>
      <c r="R58" s="18">
        <f t="shared" si="19"/>
        <v>475276.105906476</v>
      </c>
      <c r="S58" s="18">
        <f t="shared" si="20"/>
        <v>1432999.48409352</v>
      </c>
      <c r="T58" s="18">
        <f t="shared" si="4"/>
        <v>59892949.6651292</v>
      </c>
      <c r="V58" s="23">
        <f t="shared" si="5"/>
        <v>294859714.105234</v>
      </c>
      <c r="W58" s="23">
        <f t="shared" si="6"/>
        <v>8713371.8</v>
      </c>
      <c r="X58" s="23">
        <f t="shared" si="7"/>
        <v>2285162.78431556</v>
      </c>
      <c r="Y58" s="23">
        <f t="shared" si="8"/>
        <v>6428209.01568444</v>
      </c>
      <c r="Z58" s="23">
        <f t="shared" si="9"/>
        <v>288431505.08955</v>
      </c>
    </row>
    <row r="59" spans="1:26">
      <c r="A59" s="17">
        <f>A58+31</f>
        <v>47238</v>
      </c>
      <c r="B59" s="18">
        <f t="shared" si="11"/>
        <v>172141944.624793</v>
      </c>
      <c r="C59" s="20">
        <f>4093474.93</f>
        <v>4093474.93</v>
      </c>
      <c r="D59" s="18">
        <f t="shared" si="21"/>
        <v>1334100.07084214</v>
      </c>
      <c r="E59" s="18">
        <f t="shared" si="22"/>
        <v>2759374.85915786</v>
      </c>
      <c r="F59" s="18">
        <f t="shared" si="23"/>
        <v>169382569.765635</v>
      </c>
      <c r="H59" s="17">
        <f>H58+31</f>
        <v>47238</v>
      </c>
      <c r="I59" s="18">
        <f t="shared" si="14"/>
        <v>56396610.7996278</v>
      </c>
      <c r="J59" s="21">
        <v>2722401.59</v>
      </c>
      <c r="K59" s="18">
        <f t="shared" si="15"/>
        <v>437073.733697116</v>
      </c>
      <c r="L59" s="18">
        <f t="shared" si="16"/>
        <v>2285327.85630288</v>
      </c>
      <c r="M59" s="18">
        <f t="shared" si="3"/>
        <v>54111282.943325</v>
      </c>
      <c r="O59" s="17">
        <f>O58+31</f>
        <v>47238</v>
      </c>
      <c r="P59" s="18">
        <f t="shared" si="18"/>
        <v>59892949.6651292</v>
      </c>
      <c r="Q59" s="25">
        <v>1881988.44</v>
      </c>
      <c r="R59" s="18">
        <f t="shared" si="19"/>
        <v>464170.359904751</v>
      </c>
      <c r="S59" s="18">
        <f t="shared" si="20"/>
        <v>1417818.08009525</v>
      </c>
      <c r="T59" s="18">
        <f t="shared" si="4"/>
        <v>58475131.585034</v>
      </c>
      <c r="V59" s="23">
        <f t="shared" si="5"/>
        <v>288431505.08955</v>
      </c>
      <c r="W59" s="23">
        <f t="shared" si="6"/>
        <v>8697864.96</v>
      </c>
      <c r="X59" s="23">
        <f t="shared" si="7"/>
        <v>2235344.16444401</v>
      </c>
      <c r="Y59" s="23">
        <f t="shared" si="8"/>
        <v>6462520.79555599</v>
      </c>
      <c r="Z59" s="23">
        <f t="shared" si="9"/>
        <v>281968984.293994</v>
      </c>
    </row>
    <row r="60" spans="1:26">
      <c r="A60" s="17">
        <f>A59+31</f>
        <v>47269</v>
      </c>
      <c r="B60" s="18">
        <f t="shared" si="11"/>
        <v>169382569.765635</v>
      </c>
      <c r="C60" s="20">
        <f>1294524.49+2752880</f>
        <v>4047404.49</v>
      </c>
      <c r="D60" s="18">
        <f t="shared" si="21"/>
        <v>1312714.91568367</v>
      </c>
      <c r="E60" s="18">
        <f t="shared" si="22"/>
        <v>2734689.57431633</v>
      </c>
      <c r="F60" s="18">
        <f t="shared" si="23"/>
        <v>166647880.191318</v>
      </c>
      <c r="H60" s="17">
        <f>H59+31</f>
        <v>47269</v>
      </c>
      <c r="I60" s="18">
        <f t="shared" si="14"/>
        <v>54111282.943325</v>
      </c>
      <c r="J60" s="21">
        <v>2718298.71</v>
      </c>
      <c r="K60" s="18">
        <f t="shared" si="15"/>
        <v>419362.442810768</v>
      </c>
      <c r="L60" s="18">
        <f t="shared" si="16"/>
        <v>2298936.26718923</v>
      </c>
      <c r="M60" s="18">
        <f t="shared" si="3"/>
        <v>51812346.6761357</v>
      </c>
      <c r="O60" s="17">
        <f>O59+31</f>
        <v>47269</v>
      </c>
      <c r="P60" s="18">
        <f t="shared" si="18"/>
        <v>58475131.585034</v>
      </c>
      <c r="Q60" s="25">
        <v>1885639.43</v>
      </c>
      <c r="R60" s="18">
        <f t="shared" si="19"/>
        <v>453182.269784013</v>
      </c>
      <c r="S60" s="18">
        <f t="shared" si="20"/>
        <v>1432457.16021599</v>
      </c>
      <c r="T60" s="18">
        <f t="shared" si="4"/>
        <v>57042674.424818</v>
      </c>
      <c r="V60" s="23">
        <f t="shared" si="5"/>
        <v>281968984.293994</v>
      </c>
      <c r="W60" s="23">
        <f t="shared" si="6"/>
        <v>8651342.63</v>
      </c>
      <c r="X60" s="23">
        <f t="shared" si="7"/>
        <v>2185259.62827845</v>
      </c>
      <c r="Y60" s="23">
        <f t="shared" si="8"/>
        <v>6466083.00172155</v>
      </c>
      <c r="Z60" s="23">
        <f t="shared" si="9"/>
        <v>275502901.292272</v>
      </c>
    </row>
    <row r="61" spans="1:26">
      <c r="A61" s="17">
        <f>A60+30</f>
        <v>47299</v>
      </c>
      <c r="B61" s="18">
        <f t="shared" si="11"/>
        <v>166647880.191318</v>
      </c>
      <c r="C61" s="20">
        <f>4089011.74</f>
        <v>4089011.74</v>
      </c>
      <c r="D61" s="18">
        <f t="shared" si="21"/>
        <v>1291521.07148272</v>
      </c>
      <c r="E61" s="18">
        <f t="shared" si="22"/>
        <v>2797490.66851728</v>
      </c>
      <c r="F61" s="18">
        <f t="shared" si="23"/>
        <v>163850389.522801</v>
      </c>
      <c r="H61" s="17">
        <f>H60+30</f>
        <v>47299</v>
      </c>
      <c r="I61" s="18">
        <f t="shared" si="14"/>
        <v>51812346.6761357</v>
      </c>
      <c r="J61" s="21">
        <v>2687233.99</v>
      </c>
      <c r="K61" s="18">
        <f t="shared" si="15"/>
        <v>401545.686740052</v>
      </c>
      <c r="L61" s="18">
        <f t="shared" si="16"/>
        <v>2285688.30325995</v>
      </c>
      <c r="M61" s="18">
        <f t="shared" si="3"/>
        <v>49526658.3728758</v>
      </c>
      <c r="O61" s="17">
        <f>O60+30</f>
        <v>47299</v>
      </c>
      <c r="P61" s="18">
        <f t="shared" si="18"/>
        <v>57042674.424818</v>
      </c>
      <c r="Q61" s="25">
        <v>1860082.49</v>
      </c>
      <c r="R61" s="18">
        <f t="shared" si="19"/>
        <v>442080.726792339</v>
      </c>
      <c r="S61" s="18">
        <f t="shared" si="20"/>
        <v>1418001.76320766</v>
      </c>
      <c r="T61" s="18">
        <f t="shared" si="4"/>
        <v>55624672.6616103</v>
      </c>
      <c r="V61" s="23">
        <f t="shared" si="5"/>
        <v>275502901.292272</v>
      </c>
      <c r="W61" s="23">
        <f t="shared" si="6"/>
        <v>8636328.22</v>
      </c>
      <c r="X61" s="23">
        <f t="shared" si="7"/>
        <v>2135147.48501511</v>
      </c>
      <c r="Y61" s="23">
        <f t="shared" si="8"/>
        <v>6501180.73498489</v>
      </c>
      <c r="Z61" s="23">
        <f t="shared" si="9"/>
        <v>269001720.557287</v>
      </c>
    </row>
    <row r="62" spans="1:26">
      <c r="A62" s="17">
        <f>A61+31</f>
        <v>47330</v>
      </c>
      <c r="B62" s="18">
        <f t="shared" si="11"/>
        <v>163850389.522801</v>
      </c>
      <c r="C62" s="20">
        <f>1252290.32+2792017</f>
        <v>4044307.32</v>
      </c>
      <c r="D62" s="18">
        <f t="shared" si="21"/>
        <v>1269840.51880171</v>
      </c>
      <c r="E62" s="18">
        <f t="shared" si="22"/>
        <v>2774466.80119829</v>
      </c>
      <c r="F62" s="18">
        <f t="shared" si="23"/>
        <v>161075922.721603</v>
      </c>
      <c r="H62" s="17">
        <f>H61+31</f>
        <v>47330</v>
      </c>
      <c r="I62" s="18">
        <f t="shared" si="14"/>
        <v>49526658.3728758</v>
      </c>
      <c r="J62" s="21">
        <v>2681958.84</v>
      </c>
      <c r="K62" s="18">
        <f t="shared" si="15"/>
        <v>383831.602389787</v>
      </c>
      <c r="L62" s="18">
        <f t="shared" si="16"/>
        <v>2298127.23761021</v>
      </c>
      <c r="M62" s="18">
        <f t="shared" si="3"/>
        <v>47228531.1352656</v>
      </c>
      <c r="O62" s="17">
        <f>O61+31</f>
        <v>47330</v>
      </c>
      <c r="P62" s="18">
        <f t="shared" si="18"/>
        <v>55624672.6616103</v>
      </c>
      <c r="Q62" s="25">
        <v>1863003.28</v>
      </c>
      <c r="R62" s="18">
        <f t="shared" si="19"/>
        <v>431091.21312748</v>
      </c>
      <c r="S62" s="18">
        <f t="shared" si="20"/>
        <v>1431912.06687252</v>
      </c>
      <c r="T62" s="18">
        <f t="shared" si="4"/>
        <v>54192760.5947378</v>
      </c>
      <c r="V62" s="23">
        <f t="shared" si="5"/>
        <v>269001720.557287</v>
      </c>
      <c r="W62" s="23">
        <f t="shared" si="6"/>
        <v>8589269.44</v>
      </c>
      <c r="X62" s="23">
        <f t="shared" si="7"/>
        <v>2084763.33431898</v>
      </c>
      <c r="Y62" s="23">
        <f t="shared" si="8"/>
        <v>6504506.10568102</v>
      </c>
      <c r="Z62" s="23">
        <f t="shared" si="9"/>
        <v>262497214.451606</v>
      </c>
    </row>
    <row r="63" spans="1:26">
      <c r="A63" s="17">
        <f>A62+31</f>
        <v>47361</v>
      </c>
      <c r="B63" s="18">
        <f t="shared" si="11"/>
        <v>161075922.721603</v>
      </c>
      <c r="C63" s="20">
        <f>1272691.61+2811794</f>
        <v>4084485.61</v>
      </c>
      <c r="D63" s="18">
        <f t="shared" si="21"/>
        <v>1248338.40109242</v>
      </c>
      <c r="E63" s="18">
        <f t="shared" si="22"/>
        <v>2836147.20890758</v>
      </c>
      <c r="F63" s="18">
        <f t="shared" si="23"/>
        <v>158239775.512695</v>
      </c>
      <c r="H63" s="17">
        <f>H62+31</f>
        <v>47361</v>
      </c>
      <c r="I63" s="18">
        <f t="shared" si="14"/>
        <v>47228531.1352656</v>
      </c>
      <c r="J63" s="21">
        <v>2663788.91</v>
      </c>
      <c r="K63" s="18">
        <f t="shared" si="15"/>
        <v>366021.116298308</v>
      </c>
      <c r="L63" s="18">
        <f t="shared" si="16"/>
        <v>2297767.79370169</v>
      </c>
      <c r="M63" s="18">
        <f t="shared" si="3"/>
        <v>44930763.3415639</v>
      </c>
      <c r="O63" s="17">
        <f>O62+31</f>
        <v>47361</v>
      </c>
      <c r="P63" s="18">
        <f t="shared" si="18"/>
        <v>54192760.5947378</v>
      </c>
      <c r="Q63" s="25">
        <v>1851685.21</v>
      </c>
      <c r="R63" s="18">
        <f t="shared" si="19"/>
        <v>419993.894609218</v>
      </c>
      <c r="S63" s="18">
        <f t="shared" si="20"/>
        <v>1431691.31539078</v>
      </c>
      <c r="T63" s="18">
        <f t="shared" si="4"/>
        <v>52761069.279347</v>
      </c>
      <c r="V63" s="23">
        <f t="shared" si="5"/>
        <v>262497214.451606</v>
      </c>
      <c r="W63" s="23">
        <f t="shared" si="6"/>
        <v>8599959.73</v>
      </c>
      <c r="X63" s="23">
        <f t="shared" si="7"/>
        <v>2034353.41199995</v>
      </c>
      <c r="Y63" s="23">
        <f t="shared" si="8"/>
        <v>6565606.31800005</v>
      </c>
      <c r="Z63" s="23">
        <f t="shared" si="9"/>
        <v>255931608.133606</v>
      </c>
    </row>
    <row r="64" spans="1:26">
      <c r="A64" s="17">
        <f>A63+30</f>
        <v>47391</v>
      </c>
      <c r="B64" s="18">
        <f t="shared" si="11"/>
        <v>158239775.512695</v>
      </c>
      <c r="C64" s="20">
        <f>4082198.32</f>
        <v>4082198.32</v>
      </c>
      <c r="D64" s="18">
        <f t="shared" si="21"/>
        <v>1226358.26022339</v>
      </c>
      <c r="E64" s="18">
        <f t="shared" si="22"/>
        <v>2855840.05977661</v>
      </c>
      <c r="F64" s="18">
        <f t="shared" si="23"/>
        <v>155383935.452919</v>
      </c>
      <c r="H64" s="17">
        <f>H63+30</f>
        <v>47391</v>
      </c>
      <c r="I64" s="18">
        <f t="shared" si="14"/>
        <v>44930763.3415639</v>
      </c>
      <c r="J64" s="21">
        <v>2634482.57</v>
      </c>
      <c r="K64" s="18">
        <f t="shared" si="15"/>
        <v>348213.41589712</v>
      </c>
      <c r="L64" s="18">
        <f t="shared" si="16"/>
        <v>2286269.15410288</v>
      </c>
      <c r="M64" s="18">
        <f t="shared" si="3"/>
        <v>42644494.187461</v>
      </c>
      <c r="O64" s="17">
        <f>O63+30</f>
        <v>47391</v>
      </c>
      <c r="P64" s="18">
        <f t="shared" si="18"/>
        <v>52761069.279347</v>
      </c>
      <c r="Q64" s="25">
        <v>1827223.55</v>
      </c>
      <c r="R64" s="18">
        <f t="shared" si="19"/>
        <v>408898.286914939</v>
      </c>
      <c r="S64" s="18">
        <f t="shared" si="20"/>
        <v>1418325.26308506</v>
      </c>
      <c r="T64" s="18">
        <f t="shared" si="4"/>
        <v>51342744.0162619</v>
      </c>
      <c r="V64" s="23">
        <f t="shared" si="5"/>
        <v>255931608.133606</v>
      </c>
      <c r="W64" s="23">
        <f t="shared" si="6"/>
        <v>8543904.44</v>
      </c>
      <c r="X64" s="23">
        <f t="shared" si="7"/>
        <v>1983469.96303545</v>
      </c>
      <c r="Y64" s="23">
        <f t="shared" si="8"/>
        <v>6560434.47696455</v>
      </c>
      <c r="Z64" s="23">
        <f t="shared" si="9"/>
        <v>249371173.656642</v>
      </c>
    </row>
    <row r="65" spans="1:26">
      <c r="A65" s="17">
        <f>A64+31</f>
        <v>47422</v>
      </c>
      <c r="B65" s="18">
        <f t="shared" si="11"/>
        <v>155383935.452919</v>
      </c>
      <c r="C65" s="20">
        <f>1187810.58+3445505</f>
        <v>4633315.58</v>
      </c>
      <c r="D65" s="18">
        <f t="shared" si="21"/>
        <v>1204225.49976012</v>
      </c>
      <c r="E65" s="18">
        <f t="shared" si="22"/>
        <v>3429090.08023988</v>
      </c>
      <c r="F65" s="18">
        <f t="shared" si="23"/>
        <v>151954845.372679</v>
      </c>
      <c r="H65" s="17">
        <f>H64+31</f>
        <v>47422</v>
      </c>
      <c r="I65" s="18">
        <f t="shared" si="14"/>
        <v>42644494.187461</v>
      </c>
      <c r="J65" s="21">
        <v>2627449.05</v>
      </c>
      <c r="K65" s="18">
        <f t="shared" si="15"/>
        <v>330494.829952823</v>
      </c>
      <c r="L65" s="18">
        <f t="shared" si="16"/>
        <v>2296954.22004718</v>
      </c>
      <c r="M65" s="18">
        <f t="shared" si="3"/>
        <v>40347539.9674138</v>
      </c>
      <c r="O65" s="17">
        <f>O64+31</f>
        <v>47422</v>
      </c>
      <c r="P65" s="18">
        <f t="shared" si="18"/>
        <v>51342744.0162619</v>
      </c>
      <c r="Q65" s="25">
        <v>1829049.05</v>
      </c>
      <c r="R65" s="18">
        <f t="shared" si="19"/>
        <v>397906.26612603</v>
      </c>
      <c r="S65" s="18">
        <f t="shared" si="20"/>
        <v>1431142.78387397</v>
      </c>
      <c r="T65" s="18">
        <f t="shared" si="4"/>
        <v>49911601.232388</v>
      </c>
      <c r="V65" s="23">
        <f t="shared" si="5"/>
        <v>249371173.656642</v>
      </c>
      <c r="W65" s="23">
        <f t="shared" si="6"/>
        <v>9089813.68</v>
      </c>
      <c r="X65" s="23">
        <f t="shared" si="7"/>
        <v>1932626.59583897</v>
      </c>
      <c r="Y65" s="23">
        <f t="shared" si="8"/>
        <v>7157187.08416103</v>
      </c>
      <c r="Z65" s="23">
        <f t="shared" si="9"/>
        <v>242213986.572481</v>
      </c>
    </row>
    <row r="66" spans="1:26">
      <c r="A66" s="17">
        <f>A65+30</f>
        <v>47452</v>
      </c>
      <c r="B66" s="18">
        <f t="shared" si="11"/>
        <v>151954845.372679</v>
      </c>
      <c r="C66" s="20">
        <f>4670978.38</f>
        <v>4670978.38</v>
      </c>
      <c r="D66" s="18">
        <f t="shared" si="21"/>
        <v>1177650.05163826</v>
      </c>
      <c r="E66" s="18">
        <f t="shared" si="22"/>
        <v>3493328.32836174</v>
      </c>
      <c r="F66" s="18">
        <f t="shared" si="23"/>
        <v>148461517.044317</v>
      </c>
      <c r="H66" s="17">
        <f>H65+30</f>
        <v>47452</v>
      </c>
      <c r="I66" s="18">
        <f t="shared" si="14"/>
        <v>40347539.9674138</v>
      </c>
      <c r="J66" s="21">
        <v>2599314.96</v>
      </c>
      <c r="K66" s="18">
        <f t="shared" si="15"/>
        <v>312693.434747457</v>
      </c>
      <c r="L66" s="18">
        <f t="shared" si="16"/>
        <v>2286621.52525254</v>
      </c>
      <c r="M66" s="18">
        <f t="shared" si="3"/>
        <v>38060918.4421613</v>
      </c>
      <c r="O66" s="17">
        <f>O65+30</f>
        <v>47452</v>
      </c>
      <c r="P66" s="18">
        <f t="shared" si="18"/>
        <v>49911601.232388</v>
      </c>
      <c r="Q66" s="25">
        <v>1805317.6</v>
      </c>
      <c r="R66" s="18">
        <f t="shared" si="19"/>
        <v>386814.909551007</v>
      </c>
      <c r="S66" s="18">
        <f t="shared" si="20"/>
        <v>1418502.69044899</v>
      </c>
      <c r="T66" s="18">
        <f t="shared" si="4"/>
        <v>48493098.541939</v>
      </c>
      <c r="V66" s="23">
        <f t="shared" si="5"/>
        <v>242213986.572481</v>
      </c>
      <c r="W66" s="23">
        <f t="shared" si="6"/>
        <v>9075610.94</v>
      </c>
      <c r="X66" s="23">
        <f t="shared" si="7"/>
        <v>1877158.39593672</v>
      </c>
      <c r="Y66" s="23">
        <f t="shared" si="8"/>
        <v>7198452.54406328</v>
      </c>
      <c r="Z66" s="23">
        <f t="shared" si="9"/>
        <v>235015534.028417</v>
      </c>
    </row>
    <row r="67" spans="1:26">
      <c r="A67" s="17">
        <f>A66+31</f>
        <v>47483</v>
      </c>
      <c r="B67" s="18">
        <f t="shared" si="11"/>
        <v>148461517.044317</v>
      </c>
      <c r="C67" s="20">
        <f>1134950.27+3494489</f>
        <v>4629439.27</v>
      </c>
      <c r="D67" s="18">
        <f t="shared" si="21"/>
        <v>1150576.75709346</v>
      </c>
      <c r="E67" s="18">
        <f t="shared" si="22"/>
        <v>3478862.51290654</v>
      </c>
      <c r="F67" s="18">
        <f t="shared" si="23"/>
        <v>144982654.53141</v>
      </c>
      <c r="H67" s="17">
        <f>H66+31</f>
        <v>47483</v>
      </c>
      <c r="I67" s="18">
        <f t="shared" si="14"/>
        <v>38060918.4421613</v>
      </c>
      <c r="J67" s="21">
        <v>2591109.18</v>
      </c>
      <c r="K67" s="18">
        <f t="shared" si="15"/>
        <v>294972.11792675</v>
      </c>
      <c r="L67" s="18">
        <f t="shared" si="16"/>
        <v>2296137.06207325</v>
      </c>
      <c r="M67" s="18">
        <f t="shared" si="3"/>
        <v>35764781.380088</v>
      </c>
      <c r="O67" s="17">
        <f>O66+31</f>
        <v>47483</v>
      </c>
      <c r="P67" s="18">
        <f t="shared" si="18"/>
        <v>48493098.541939</v>
      </c>
      <c r="Q67" s="25">
        <v>1806412.9</v>
      </c>
      <c r="R67" s="18">
        <f t="shared" si="19"/>
        <v>375821.513700027</v>
      </c>
      <c r="S67" s="18">
        <f t="shared" si="20"/>
        <v>1430591.38629997</v>
      </c>
      <c r="T67" s="18">
        <f t="shared" si="4"/>
        <v>47062507.155639</v>
      </c>
      <c r="V67" s="23">
        <f t="shared" si="5"/>
        <v>235015534.028417</v>
      </c>
      <c r="W67" s="23">
        <f t="shared" si="6"/>
        <v>9026961.35</v>
      </c>
      <c r="X67" s="23">
        <f t="shared" si="7"/>
        <v>1821370.38872023</v>
      </c>
      <c r="Y67" s="23">
        <f t="shared" si="8"/>
        <v>7205590.96127977</v>
      </c>
      <c r="Z67" s="23">
        <f t="shared" si="9"/>
        <v>227809943.067137</v>
      </c>
    </row>
    <row r="68" spans="1:26">
      <c r="A68" s="17">
        <f>A67+31</f>
        <v>47514</v>
      </c>
      <c r="B68" s="18">
        <f t="shared" si="11"/>
        <v>144982654.53141</v>
      </c>
      <c r="C68" s="20">
        <f>1146070.65+3519242</f>
        <v>4665312.65</v>
      </c>
      <c r="D68" s="18">
        <f t="shared" si="21"/>
        <v>1123615.57261843</v>
      </c>
      <c r="E68" s="18">
        <f t="shared" si="22"/>
        <v>3541697.07738157</v>
      </c>
      <c r="F68" s="18">
        <f t="shared" si="23"/>
        <v>141440957.454029</v>
      </c>
      <c r="H68" s="17">
        <f>H67+31</f>
        <v>47514</v>
      </c>
      <c r="I68" s="18">
        <f t="shared" si="14"/>
        <v>35764781.380088</v>
      </c>
      <c r="J68" s="21">
        <v>2572939.26</v>
      </c>
      <c r="K68" s="18">
        <f t="shared" si="15"/>
        <v>277177.055695682</v>
      </c>
      <c r="L68" s="18">
        <f t="shared" si="16"/>
        <v>2295762.20430432</v>
      </c>
      <c r="M68" s="18">
        <f t="shared" si="3"/>
        <v>33469019.1757837</v>
      </c>
      <c r="O68" s="17">
        <f>O67+31</f>
        <v>47514</v>
      </c>
      <c r="P68" s="18">
        <f t="shared" si="18"/>
        <v>47062507.155639</v>
      </c>
      <c r="Q68" s="25">
        <v>1795094.82</v>
      </c>
      <c r="R68" s="18">
        <f t="shared" si="19"/>
        <v>364734.430456202</v>
      </c>
      <c r="S68" s="18">
        <f t="shared" si="20"/>
        <v>1430360.3895438</v>
      </c>
      <c r="T68" s="18">
        <f t="shared" si="4"/>
        <v>45632146.7660952</v>
      </c>
      <c r="V68" s="23">
        <f t="shared" si="5"/>
        <v>227809943.067137</v>
      </c>
      <c r="W68" s="23">
        <f t="shared" si="6"/>
        <v>9033346.73</v>
      </c>
      <c r="X68" s="23">
        <f t="shared" si="7"/>
        <v>1765527.05877032</v>
      </c>
      <c r="Y68" s="23">
        <f t="shared" si="8"/>
        <v>7267819.67122968</v>
      </c>
      <c r="Z68" s="23">
        <f t="shared" si="9"/>
        <v>220542123.395908</v>
      </c>
    </row>
    <row r="69" spans="1:26">
      <c r="A69" s="17">
        <f>A68+27</f>
        <v>47541</v>
      </c>
      <c r="B69" s="18">
        <f t="shared" si="11"/>
        <v>141440957.454029</v>
      </c>
      <c r="C69" s="20">
        <f>4590360.53</f>
        <v>4590360.53</v>
      </c>
      <c r="D69" s="18">
        <f t="shared" si="21"/>
        <v>1096167.42026872</v>
      </c>
      <c r="E69" s="18">
        <f t="shared" si="22"/>
        <v>3494193.10973128</v>
      </c>
      <c r="F69" s="18">
        <f t="shared" si="23"/>
        <v>137946764.344298</v>
      </c>
      <c r="H69" s="17">
        <f>H68+27</f>
        <v>47541</v>
      </c>
      <c r="I69" s="18">
        <f t="shared" si="14"/>
        <v>33469019.1757837</v>
      </c>
      <c r="J69" s="21">
        <v>2530151.99</v>
      </c>
      <c r="K69" s="18">
        <f t="shared" si="15"/>
        <v>259384.898612324</v>
      </c>
      <c r="L69" s="18">
        <f t="shared" ref="L69:L82" si="27">J69-K69</f>
        <v>2270767.09138768</v>
      </c>
      <c r="M69" s="18">
        <f t="shared" ref="M69:M82" si="28">I69-L69</f>
        <v>31198252.084396</v>
      </c>
      <c r="O69" s="17">
        <f>O68+27</f>
        <v>47541</v>
      </c>
      <c r="P69" s="18">
        <f t="shared" si="18"/>
        <v>45632146.7660952</v>
      </c>
      <c r="Q69" s="25">
        <v>1749822.52</v>
      </c>
      <c r="R69" s="18">
        <f t="shared" si="19"/>
        <v>353649.137437238</v>
      </c>
      <c r="S69" s="18">
        <f t="shared" ref="S69:S82" si="29">Q69-R69</f>
        <v>1396173.38256276</v>
      </c>
      <c r="T69" s="18">
        <f t="shared" ref="T69:T82" si="30">P69-S69</f>
        <v>44235973.3835324</v>
      </c>
      <c r="V69" s="23">
        <f t="shared" ref="V69:V103" si="31">B69+I69+P69</f>
        <v>220542123.395908</v>
      </c>
      <c r="W69" s="23">
        <f t="shared" ref="W69:W103" si="32">C69+J69+Q69</f>
        <v>8870335.04</v>
      </c>
      <c r="X69" s="23">
        <f t="shared" ref="X69:X103" si="33">D69+K69+R69</f>
        <v>1709201.45631829</v>
      </c>
      <c r="Y69" s="23">
        <f t="shared" ref="Y69:Y103" si="34">E69+L69+S69</f>
        <v>7161133.58368172</v>
      </c>
      <c r="Z69" s="23">
        <f t="shared" ref="Z69:Z103" si="35">F69+M69+T69</f>
        <v>213380989.812226</v>
      </c>
    </row>
    <row r="70" spans="1:26">
      <c r="A70" s="17">
        <f>A69+31</f>
        <v>47572</v>
      </c>
      <c r="B70" s="18">
        <f t="shared" ref="B70:B104" si="36">F69</f>
        <v>137946764.344298</v>
      </c>
      <c r="C70" s="20">
        <f>1054247.41+3569274</f>
        <v>4623521.41</v>
      </c>
      <c r="D70" s="18">
        <f t="shared" si="21"/>
        <v>1069087.42366831</v>
      </c>
      <c r="E70" s="18">
        <f t="shared" si="22"/>
        <v>3554433.98633169</v>
      </c>
      <c r="F70" s="18">
        <f t="shared" si="23"/>
        <v>134392330.357966</v>
      </c>
      <c r="H70" s="17">
        <f>H69+31</f>
        <v>47572</v>
      </c>
      <c r="I70" s="18">
        <f t="shared" ref="I70:I82" si="37">M69</f>
        <v>31198252.084396</v>
      </c>
      <c r="J70" s="21">
        <v>2536599.39</v>
      </c>
      <c r="K70" s="18">
        <f t="shared" ref="K70:K82" si="38">(I70*$D$2)/12</f>
        <v>241786.453654069</v>
      </c>
      <c r="L70" s="18">
        <f t="shared" si="27"/>
        <v>2294812.93634593</v>
      </c>
      <c r="M70" s="18">
        <f t="shared" si="28"/>
        <v>28903439.1480501</v>
      </c>
      <c r="O70" s="17">
        <f>O69+31</f>
        <v>47572</v>
      </c>
      <c r="P70" s="18">
        <f t="shared" ref="P70:P82" si="39">T69</f>
        <v>44235973.3835324</v>
      </c>
      <c r="Q70" s="25">
        <v>1772458.67</v>
      </c>
      <c r="R70" s="18">
        <f t="shared" ref="R70:R82" si="40">(P70*$D$2)/12</f>
        <v>342828.793722376</v>
      </c>
      <c r="S70" s="18">
        <f t="shared" si="29"/>
        <v>1429629.87627762</v>
      </c>
      <c r="T70" s="18">
        <f t="shared" si="30"/>
        <v>42806343.5072548</v>
      </c>
      <c r="V70" s="23">
        <f t="shared" si="31"/>
        <v>213380989.812226</v>
      </c>
      <c r="W70" s="23">
        <f t="shared" si="32"/>
        <v>8932579.47</v>
      </c>
      <c r="X70" s="23">
        <f t="shared" si="33"/>
        <v>1653702.67104475</v>
      </c>
      <c r="Y70" s="23">
        <f t="shared" si="34"/>
        <v>7278876.79895525</v>
      </c>
      <c r="Z70" s="23">
        <f t="shared" si="35"/>
        <v>206102113.013271</v>
      </c>
    </row>
    <row r="71" spans="1:26">
      <c r="A71" s="17">
        <f>A70+31</f>
        <v>47603</v>
      </c>
      <c r="B71" s="18">
        <f t="shared" si="36"/>
        <v>134392330.357966</v>
      </c>
      <c r="C71" s="20">
        <f>4656663.05</f>
        <v>4656663.05</v>
      </c>
      <c r="D71" s="18">
        <f t="shared" si="21"/>
        <v>1041540.56027424</v>
      </c>
      <c r="E71" s="18">
        <f t="shared" si="22"/>
        <v>3615122.48972576</v>
      </c>
      <c r="F71" s="18">
        <f t="shared" si="23"/>
        <v>130777207.86824</v>
      </c>
      <c r="H71" s="17">
        <f>H70+31</f>
        <v>47603</v>
      </c>
      <c r="I71" s="18">
        <f t="shared" si="37"/>
        <v>28903439.1480501</v>
      </c>
      <c r="J71" s="21">
        <v>2511395.93</v>
      </c>
      <c r="K71" s="18">
        <f t="shared" si="38"/>
        <v>224001.653397388</v>
      </c>
      <c r="L71" s="18">
        <f t="shared" si="27"/>
        <v>2287394.27660261</v>
      </c>
      <c r="M71" s="18">
        <f t="shared" si="28"/>
        <v>26616044.8714475</v>
      </c>
      <c r="O71" s="17">
        <f>O70+31</f>
        <v>47603</v>
      </c>
      <c r="P71" s="18">
        <f t="shared" si="39"/>
        <v>42806343.5072548</v>
      </c>
      <c r="Q71" s="25">
        <v>1750552.71</v>
      </c>
      <c r="R71" s="18">
        <f t="shared" si="40"/>
        <v>331749.162181225</v>
      </c>
      <c r="S71" s="18">
        <f t="shared" si="29"/>
        <v>1418803.54781878</v>
      </c>
      <c r="T71" s="18">
        <f t="shared" si="30"/>
        <v>41387539.959436</v>
      </c>
      <c r="V71" s="23">
        <f t="shared" si="31"/>
        <v>206102113.013271</v>
      </c>
      <c r="W71" s="23">
        <f t="shared" si="32"/>
        <v>8918611.69</v>
      </c>
      <c r="X71" s="23">
        <f t="shared" si="33"/>
        <v>1597291.37585285</v>
      </c>
      <c r="Y71" s="23">
        <f t="shared" si="34"/>
        <v>7321320.31414715</v>
      </c>
      <c r="Z71" s="23">
        <f t="shared" si="35"/>
        <v>198780792.699124</v>
      </c>
    </row>
    <row r="72" spans="1:26">
      <c r="A72" s="17">
        <f>A71+31</f>
        <v>47634</v>
      </c>
      <c r="B72" s="18">
        <f t="shared" si="36"/>
        <v>130777207.86824</v>
      </c>
      <c r="C72" s="20">
        <f>999488.26+3620018</f>
        <v>4619506.26</v>
      </c>
      <c r="D72" s="18">
        <f t="shared" si="21"/>
        <v>1013523.36097886</v>
      </c>
      <c r="E72" s="18">
        <f t="shared" si="22"/>
        <v>3605982.89902114</v>
      </c>
      <c r="F72" s="18">
        <f t="shared" si="23"/>
        <v>127171224.969219</v>
      </c>
      <c r="H72" s="17">
        <f>H71+31</f>
        <v>47634</v>
      </c>
      <c r="I72" s="18">
        <f t="shared" si="37"/>
        <v>26616044.8714475</v>
      </c>
      <c r="J72" s="21">
        <v>2500259.53</v>
      </c>
      <c r="K72" s="18">
        <f t="shared" si="38"/>
        <v>206274.347753718</v>
      </c>
      <c r="L72" s="18">
        <f t="shared" si="27"/>
        <v>2293985.18224628</v>
      </c>
      <c r="M72" s="18">
        <f t="shared" si="28"/>
        <v>24322059.6892012</v>
      </c>
      <c r="O72" s="17">
        <f>O71+31</f>
        <v>47634</v>
      </c>
      <c r="P72" s="18">
        <f t="shared" si="39"/>
        <v>41387539.959436</v>
      </c>
      <c r="Q72" s="25">
        <v>1749822.52</v>
      </c>
      <c r="R72" s="18">
        <f t="shared" si="40"/>
        <v>320753.434685629</v>
      </c>
      <c r="S72" s="18">
        <f t="shared" si="29"/>
        <v>1429069.08531437</v>
      </c>
      <c r="T72" s="18">
        <f t="shared" si="30"/>
        <v>39958470.8741217</v>
      </c>
      <c r="V72" s="23">
        <f t="shared" si="31"/>
        <v>198780792.699124</v>
      </c>
      <c r="W72" s="23">
        <f t="shared" si="32"/>
        <v>8869588.31</v>
      </c>
      <c r="X72" s="23">
        <f t="shared" si="33"/>
        <v>1540551.14341821</v>
      </c>
      <c r="Y72" s="23">
        <f t="shared" si="34"/>
        <v>7329037.16658179</v>
      </c>
      <c r="Z72" s="23">
        <f t="shared" si="35"/>
        <v>191451755.532542</v>
      </c>
    </row>
    <row r="73" spans="1:26">
      <c r="A73" s="17">
        <f>A72+29</f>
        <v>47663</v>
      </c>
      <c r="B73" s="18">
        <f t="shared" si="36"/>
        <v>127171224.969219</v>
      </c>
      <c r="C73" s="20">
        <v>4650793.72</v>
      </c>
      <c r="D73" s="18">
        <f t="shared" si="21"/>
        <v>985576.993511447</v>
      </c>
      <c r="E73" s="18">
        <f t="shared" si="22"/>
        <v>3665216.72648855</v>
      </c>
      <c r="F73" s="18">
        <f t="shared" si="23"/>
        <v>123506008.24273</v>
      </c>
      <c r="H73" s="17">
        <f>H72+29</f>
        <v>47663</v>
      </c>
      <c r="I73" s="18">
        <f t="shared" si="37"/>
        <v>24322059.6892012</v>
      </c>
      <c r="J73" s="21">
        <v>2476228.32</v>
      </c>
      <c r="K73" s="18">
        <f t="shared" si="38"/>
        <v>188495.962591309</v>
      </c>
      <c r="L73" s="18">
        <f t="shared" si="27"/>
        <v>2287732.35740869</v>
      </c>
      <c r="M73" s="18">
        <f t="shared" si="28"/>
        <v>22034327.3317925</v>
      </c>
      <c r="O73" s="17">
        <f>O72+29</f>
        <v>47663</v>
      </c>
      <c r="P73" s="18">
        <f t="shared" si="39"/>
        <v>39958470.8741217</v>
      </c>
      <c r="Q73" s="25">
        <v>1728646.76</v>
      </c>
      <c r="R73" s="18">
        <f t="shared" si="40"/>
        <v>309678.149274443</v>
      </c>
      <c r="S73" s="18">
        <f t="shared" si="29"/>
        <v>1418968.61072556</v>
      </c>
      <c r="T73" s="18">
        <f t="shared" si="30"/>
        <v>38539502.2633961</v>
      </c>
      <c r="V73" s="23">
        <f t="shared" si="31"/>
        <v>191451755.532542</v>
      </c>
      <c r="W73" s="23">
        <f t="shared" si="32"/>
        <v>8855668.8</v>
      </c>
      <c r="X73" s="23">
        <f t="shared" si="33"/>
        <v>1483751.1053772</v>
      </c>
      <c r="Y73" s="23">
        <f t="shared" si="34"/>
        <v>7371917.6946228</v>
      </c>
      <c r="Z73" s="23">
        <f t="shared" si="35"/>
        <v>184079837.837919</v>
      </c>
    </row>
    <row r="74" spans="1:26">
      <c r="A74" s="17">
        <f>A73+31</f>
        <v>47694</v>
      </c>
      <c r="B74" s="18">
        <f t="shared" si="36"/>
        <v>123506008.24273</v>
      </c>
      <c r="C74" s="20">
        <f>943950.61+3671483</f>
        <v>4615433.61</v>
      </c>
      <c r="D74" s="18">
        <f t="shared" si="21"/>
        <v>957171.563881161</v>
      </c>
      <c r="E74" s="18">
        <f t="shared" si="22"/>
        <v>3658262.04611884</v>
      </c>
      <c r="F74" s="18">
        <f t="shared" si="23"/>
        <v>119847746.196612</v>
      </c>
      <c r="H74" s="17">
        <f>H73+31</f>
        <v>47694</v>
      </c>
      <c r="I74" s="18">
        <f t="shared" si="37"/>
        <v>22034327.3317925</v>
      </c>
      <c r="J74" s="21">
        <v>2463919.66</v>
      </c>
      <c r="K74" s="18">
        <f t="shared" si="38"/>
        <v>170766.036821392</v>
      </c>
      <c r="L74" s="18">
        <f t="shared" si="27"/>
        <v>2293153.62317861</v>
      </c>
      <c r="M74" s="18">
        <f t="shared" si="28"/>
        <v>19741173.7086139</v>
      </c>
      <c r="O74" s="17">
        <f>O73+31</f>
        <v>47694</v>
      </c>
      <c r="P74" s="18">
        <f t="shared" si="39"/>
        <v>38539502.2633961</v>
      </c>
      <c r="Q74" s="25">
        <v>1727186.37</v>
      </c>
      <c r="R74" s="18">
        <f t="shared" si="40"/>
        <v>298681.14254132</v>
      </c>
      <c r="S74" s="18">
        <f t="shared" si="29"/>
        <v>1428505.22745868</v>
      </c>
      <c r="T74" s="18">
        <f t="shared" si="30"/>
        <v>37110997.0359374</v>
      </c>
      <c r="V74" s="23">
        <f t="shared" si="31"/>
        <v>184079837.837919</v>
      </c>
      <c r="W74" s="23">
        <f t="shared" si="32"/>
        <v>8806539.64</v>
      </c>
      <c r="X74" s="23">
        <f t="shared" si="33"/>
        <v>1426618.74324387</v>
      </c>
      <c r="Y74" s="23">
        <f t="shared" si="34"/>
        <v>7379920.89675613</v>
      </c>
      <c r="Z74" s="23">
        <f t="shared" si="35"/>
        <v>176699916.941163</v>
      </c>
    </row>
    <row r="75" spans="1:26">
      <c r="A75" s="17">
        <f>A74+31</f>
        <v>47725</v>
      </c>
      <c r="B75" s="18">
        <f t="shared" si="36"/>
        <v>119847746.196612</v>
      </c>
      <c r="C75" s="20">
        <f>947351.43+3697490</f>
        <v>4644841.43</v>
      </c>
      <c r="D75" s="18">
        <f t="shared" si="21"/>
        <v>928820.03302374</v>
      </c>
      <c r="E75" s="18">
        <f t="shared" si="22"/>
        <v>3716021.39697626</v>
      </c>
      <c r="F75" s="18">
        <f t="shared" si="23"/>
        <v>116131724.799635</v>
      </c>
      <c r="H75" s="17">
        <f>H74+31</f>
        <v>47725</v>
      </c>
      <c r="I75" s="18">
        <f t="shared" si="37"/>
        <v>19741173.7086139</v>
      </c>
      <c r="J75" s="21">
        <v>2445749.73</v>
      </c>
      <c r="K75" s="18">
        <f t="shared" si="38"/>
        <v>152994.096241758</v>
      </c>
      <c r="L75" s="18">
        <f t="shared" si="27"/>
        <v>2292755.63375824</v>
      </c>
      <c r="M75" s="18">
        <f t="shared" si="28"/>
        <v>17448418.0748557</v>
      </c>
      <c r="O75" s="17">
        <f>O74+31</f>
        <v>47725</v>
      </c>
      <c r="P75" s="18">
        <f t="shared" si="39"/>
        <v>37110997.0359374</v>
      </c>
      <c r="Q75" s="25">
        <v>1715868.28</v>
      </c>
      <c r="R75" s="18">
        <f t="shared" si="40"/>
        <v>287610.227028515</v>
      </c>
      <c r="S75" s="18">
        <f t="shared" si="29"/>
        <v>1428258.05297148</v>
      </c>
      <c r="T75" s="18">
        <f t="shared" si="30"/>
        <v>35682738.982966</v>
      </c>
      <c r="V75" s="23">
        <f t="shared" si="31"/>
        <v>176699916.941163</v>
      </c>
      <c r="W75" s="23">
        <f t="shared" si="32"/>
        <v>8806459.44</v>
      </c>
      <c r="X75" s="23">
        <f t="shared" si="33"/>
        <v>1369424.35629401</v>
      </c>
      <c r="Y75" s="23">
        <f t="shared" si="34"/>
        <v>7437035.08370599</v>
      </c>
      <c r="Z75" s="23">
        <f t="shared" si="35"/>
        <v>169262881.857457</v>
      </c>
    </row>
    <row r="76" spans="1:26">
      <c r="A76" s="17">
        <f>A75+31</f>
        <v>47756</v>
      </c>
      <c r="B76" s="18">
        <f t="shared" si="36"/>
        <v>116131724.799635</v>
      </c>
      <c r="C76" s="20">
        <f>4641832.94</f>
        <v>4641832.94</v>
      </c>
      <c r="D76" s="18">
        <f t="shared" si="21"/>
        <v>900020.867197174</v>
      </c>
      <c r="E76" s="18">
        <f t="shared" si="22"/>
        <v>3741812.07280283</v>
      </c>
      <c r="F76" s="18">
        <f t="shared" si="23"/>
        <v>112389912.726833</v>
      </c>
      <c r="H76" s="17">
        <f>H75+31</f>
        <v>47756</v>
      </c>
      <c r="I76" s="18">
        <f t="shared" si="37"/>
        <v>17448418.0748557</v>
      </c>
      <c r="J76" s="21">
        <v>2423479.91</v>
      </c>
      <c r="K76" s="18">
        <f t="shared" si="38"/>
        <v>135225.240080131</v>
      </c>
      <c r="L76" s="18">
        <f t="shared" si="27"/>
        <v>2288254.66991987</v>
      </c>
      <c r="M76" s="18">
        <f t="shared" si="28"/>
        <v>15160163.4049358</v>
      </c>
      <c r="O76" s="17">
        <f>O75+31</f>
        <v>47756</v>
      </c>
      <c r="P76" s="18">
        <f t="shared" si="39"/>
        <v>35682738.982966</v>
      </c>
      <c r="Q76" s="25">
        <v>1695787.83</v>
      </c>
      <c r="R76" s="18">
        <f t="shared" si="40"/>
        <v>276541.227117986</v>
      </c>
      <c r="S76" s="18">
        <f t="shared" si="29"/>
        <v>1419246.60288201</v>
      </c>
      <c r="T76" s="18">
        <f t="shared" si="30"/>
        <v>34263492.3800839</v>
      </c>
      <c r="V76" s="23">
        <f t="shared" si="31"/>
        <v>169262881.857457</v>
      </c>
      <c r="W76" s="23">
        <f t="shared" si="32"/>
        <v>8761100.68</v>
      </c>
      <c r="X76" s="23">
        <f t="shared" si="33"/>
        <v>1311787.33439529</v>
      </c>
      <c r="Y76" s="23">
        <f t="shared" si="34"/>
        <v>7449313.34560471</v>
      </c>
      <c r="Z76" s="23">
        <f t="shared" si="35"/>
        <v>161813568.511852</v>
      </c>
    </row>
    <row r="77" spans="1:26">
      <c r="A77" s="17">
        <f>A76+31</f>
        <v>47787</v>
      </c>
      <c r="B77" s="18">
        <f t="shared" si="36"/>
        <v>112389912.726833</v>
      </c>
      <c r="C77" s="20">
        <f>859160.2+3750056</f>
        <v>4609216.2</v>
      </c>
      <c r="D77" s="18">
        <f t="shared" si="21"/>
        <v>871021.823632952</v>
      </c>
      <c r="E77" s="18">
        <f t="shared" si="22"/>
        <v>3738194.37636705</v>
      </c>
      <c r="F77" s="18">
        <f t="shared" si="23"/>
        <v>108651718.350465</v>
      </c>
      <c r="H77" s="17">
        <f>H76+31</f>
        <v>47787</v>
      </c>
      <c r="I77" s="18">
        <f t="shared" si="37"/>
        <v>15160163.4049358</v>
      </c>
      <c r="J77" s="21">
        <v>2409409.86</v>
      </c>
      <c r="K77" s="18">
        <f t="shared" si="38"/>
        <v>117491.266388252</v>
      </c>
      <c r="L77" s="18">
        <f t="shared" si="27"/>
        <v>2291918.59361175</v>
      </c>
      <c r="M77" s="18">
        <f t="shared" si="28"/>
        <v>12868244.811324</v>
      </c>
      <c r="O77" s="17">
        <f>O76+31</f>
        <v>47787</v>
      </c>
      <c r="P77" s="18">
        <f t="shared" si="39"/>
        <v>34263492.3800839</v>
      </c>
      <c r="Q77" s="25">
        <v>1693232.14</v>
      </c>
      <c r="R77" s="18">
        <f t="shared" si="40"/>
        <v>265542.065945651</v>
      </c>
      <c r="S77" s="18">
        <f t="shared" si="29"/>
        <v>1427690.07405435</v>
      </c>
      <c r="T77" s="18">
        <f t="shared" si="30"/>
        <v>32835802.3060296</v>
      </c>
      <c r="V77" s="23">
        <f t="shared" si="31"/>
        <v>161813568.511852</v>
      </c>
      <c r="W77" s="23">
        <f t="shared" si="32"/>
        <v>8711858.2</v>
      </c>
      <c r="X77" s="23">
        <f t="shared" si="33"/>
        <v>1254055.15596685</v>
      </c>
      <c r="Y77" s="23">
        <f t="shared" si="34"/>
        <v>7457803.04403315</v>
      </c>
      <c r="Z77" s="23">
        <f t="shared" si="35"/>
        <v>154355765.467819</v>
      </c>
    </row>
    <row r="78" spans="1:26">
      <c r="A78" s="17">
        <f>A77+29</f>
        <v>47816</v>
      </c>
      <c r="B78" s="18">
        <f t="shared" si="36"/>
        <v>108651718.350465</v>
      </c>
      <c r="C78" s="20">
        <f>4635753.06</f>
        <v>4635753.06</v>
      </c>
      <c r="D78" s="18">
        <f t="shared" si="21"/>
        <v>842050.817216107</v>
      </c>
      <c r="E78" s="18">
        <f t="shared" si="22"/>
        <v>3793702.24278389</v>
      </c>
      <c r="F78" s="18">
        <f t="shared" si="23"/>
        <v>104858016.107682</v>
      </c>
      <c r="H78" s="17">
        <f>H77+29</f>
        <v>47816</v>
      </c>
      <c r="I78" s="18">
        <f t="shared" si="37"/>
        <v>12868244.811324</v>
      </c>
      <c r="J78" s="21">
        <v>2388309.3</v>
      </c>
      <c r="K78" s="18">
        <f t="shared" si="38"/>
        <v>99728.8972877613</v>
      </c>
      <c r="L78" s="18">
        <f t="shared" si="27"/>
        <v>2288580.40271224</v>
      </c>
      <c r="M78" s="18">
        <f t="shared" si="28"/>
        <v>10579664.4086118</v>
      </c>
      <c r="O78" s="17">
        <f>O77+29</f>
        <v>47816</v>
      </c>
      <c r="P78" s="18">
        <f t="shared" si="39"/>
        <v>32835802.3060296</v>
      </c>
      <c r="Q78" s="25">
        <v>1673881.87</v>
      </c>
      <c r="R78" s="18">
        <f t="shared" si="40"/>
        <v>254477.467871729</v>
      </c>
      <c r="S78" s="18">
        <f t="shared" si="29"/>
        <v>1419404.40212827</v>
      </c>
      <c r="T78" s="18">
        <f t="shared" si="30"/>
        <v>31416397.9039013</v>
      </c>
      <c r="V78" s="23">
        <f t="shared" si="31"/>
        <v>154355765.467819</v>
      </c>
      <c r="W78" s="23">
        <f t="shared" si="32"/>
        <v>8697944.23</v>
      </c>
      <c r="X78" s="23">
        <f t="shared" si="33"/>
        <v>1196257.1823756</v>
      </c>
      <c r="Y78" s="23">
        <f t="shared" si="34"/>
        <v>7501687.0476244</v>
      </c>
      <c r="Z78" s="23">
        <f t="shared" si="35"/>
        <v>146854078.420195</v>
      </c>
    </row>
    <row r="79" spans="1:26">
      <c r="A79" s="17">
        <f>A78+31</f>
        <v>47847</v>
      </c>
      <c r="B79" s="18">
        <f t="shared" si="36"/>
        <v>104858016.107682</v>
      </c>
      <c r="C79" s="20">
        <f>801627.53+3803370</f>
        <v>4604997.53</v>
      </c>
      <c r="D79" s="18">
        <f t="shared" si="21"/>
        <v>812649.624834532</v>
      </c>
      <c r="E79" s="18">
        <f t="shared" si="22"/>
        <v>3792347.90516547</v>
      </c>
      <c r="F79" s="18">
        <f t="shared" si="23"/>
        <v>101065668.202516</v>
      </c>
      <c r="H79" s="17">
        <f>H78+31</f>
        <v>47847</v>
      </c>
      <c r="I79" s="18">
        <f t="shared" si="37"/>
        <v>10579664.4086118</v>
      </c>
      <c r="J79" s="25">
        <v>2373070</v>
      </c>
      <c r="K79" s="18">
        <f t="shared" si="38"/>
        <v>81992.3991667414</v>
      </c>
      <c r="L79" s="18">
        <f t="shared" si="27"/>
        <v>2291077.60083326</v>
      </c>
      <c r="M79" s="18">
        <f t="shared" si="28"/>
        <v>8288586.80777854</v>
      </c>
      <c r="O79" s="17">
        <f>O78+31</f>
        <v>47847</v>
      </c>
      <c r="P79" s="18">
        <f t="shared" si="39"/>
        <v>31416397.9039013</v>
      </c>
      <c r="Q79" s="25">
        <v>1670595.98</v>
      </c>
      <c r="R79" s="18">
        <f t="shared" si="40"/>
        <v>243477.083755235</v>
      </c>
      <c r="S79" s="18">
        <f t="shared" si="29"/>
        <v>1427118.89624476</v>
      </c>
      <c r="T79" s="18">
        <f t="shared" si="30"/>
        <v>29989279.0076566</v>
      </c>
      <c r="V79" s="23">
        <f t="shared" si="31"/>
        <v>146854078.420195</v>
      </c>
      <c r="W79" s="23">
        <f t="shared" si="32"/>
        <v>8648663.51</v>
      </c>
      <c r="X79" s="23">
        <f t="shared" si="33"/>
        <v>1138119.10775651</v>
      </c>
      <c r="Y79" s="23">
        <f t="shared" si="34"/>
        <v>7510544.40224349</v>
      </c>
      <c r="Z79" s="23">
        <f t="shared" si="35"/>
        <v>139343534.017951</v>
      </c>
    </row>
    <row r="80" spans="1:26">
      <c r="A80" s="17">
        <f>A79+31</f>
        <v>47878</v>
      </c>
      <c r="B80" s="18">
        <f t="shared" si="36"/>
        <v>101065668.202516</v>
      </c>
      <c r="C80" s="20">
        <f>799276.12+3830311</f>
        <v>4629587.12</v>
      </c>
      <c r="D80" s="18">
        <f t="shared" si="21"/>
        <v>783258.9285695</v>
      </c>
      <c r="E80" s="18">
        <f t="shared" si="22"/>
        <v>3846328.1914305</v>
      </c>
      <c r="F80" s="18">
        <f t="shared" si="23"/>
        <v>97219340.0110856</v>
      </c>
      <c r="H80" s="17">
        <f>H79+31</f>
        <v>47878</v>
      </c>
      <c r="I80" s="18">
        <f t="shared" si="37"/>
        <v>8288586.80777854</v>
      </c>
      <c r="J80" s="25">
        <v>2354900.07</v>
      </c>
      <c r="K80" s="18">
        <f t="shared" si="38"/>
        <v>64236.5477602837</v>
      </c>
      <c r="L80" s="18">
        <f t="shared" si="27"/>
        <v>2290663.52223972</v>
      </c>
      <c r="M80" s="18">
        <f t="shared" si="28"/>
        <v>5997923.28553882</v>
      </c>
      <c r="O80" s="17">
        <f>O79+31</f>
        <v>47878</v>
      </c>
      <c r="P80" s="18">
        <f t="shared" si="39"/>
        <v>29989279.0076566</v>
      </c>
      <c r="Q80" s="25">
        <v>1659277.91</v>
      </c>
      <c r="R80" s="18">
        <f t="shared" si="40"/>
        <v>232416.912309338</v>
      </c>
      <c r="S80" s="18">
        <f t="shared" si="29"/>
        <v>1426860.99769066</v>
      </c>
      <c r="T80" s="18">
        <f t="shared" si="30"/>
        <v>28562418.0099659</v>
      </c>
      <c r="V80" s="23">
        <f t="shared" si="31"/>
        <v>139343534.017951</v>
      </c>
      <c r="W80" s="23">
        <f t="shared" si="32"/>
        <v>8643765.1</v>
      </c>
      <c r="X80" s="23">
        <f t="shared" si="33"/>
        <v>1079912.38863912</v>
      </c>
      <c r="Y80" s="23">
        <f t="shared" si="34"/>
        <v>7563852.71136088</v>
      </c>
      <c r="Z80" s="23">
        <f t="shared" si="35"/>
        <v>131779681.30659</v>
      </c>
    </row>
    <row r="81" spans="1:26">
      <c r="A81" s="17">
        <f>A80+29</f>
        <v>47907</v>
      </c>
      <c r="B81" s="18">
        <f t="shared" si="36"/>
        <v>97219340.0110856</v>
      </c>
      <c r="C81" s="20">
        <f>4576918.97</f>
        <v>4576918.97</v>
      </c>
      <c r="D81" s="18">
        <f t="shared" si="21"/>
        <v>753449.885085913</v>
      </c>
      <c r="E81" s="18">
        <f t="shared" si="22"/>
        <v>3823469.08491409</v>
      </c>
      <c r="F81" s="18">
        <f t="shared" si="23"/>
        <v>93395870.9261715</v>
      </c>
      <c r="H81" s="17">
        <f>H80+29</f>
        <v>47907</v>
      </c>
      <c r="I81" s="18">
        <f t="shared" si="37"/>
        <v>5997923.28553882</v>
      </c>
      <c r="J81" s="25">
        <v>2333213.38</v>
      </c>
      <c r="K81" s="18">
        <f t="shared" si="38"/>
        <v>46483.9054629259</v>
      </c>
      <c r="L81" s="18">
        <f t="shared" si="27"/>
        <v>2286729.47453707</v>
      </c>
      <c r="M81" s="18">
        <f t="shared" si="28"/>
        <v>3711193.81100175</v>
      </c>
      <c r="O81" s="17">
        <f>O80+29</f>
        <v>47907</v>
      </c>
      <c r="P81" s="18">
        <f t="shared" si="39"/>
        <v>28562418.0099659</v>
      </c>
      <c r="Q81" s="25">
        <v>1627149.17</v>
      </c>
      <c r="R81" s="18">
        <f t="shared" si="40"/>
        <v>221358.739577236</v>
      </c>
      <c r="S81" s="18">
        <f t="shared" si="29"/>
        <v>1405790.43042276</v>
      </c>
      <c r="T81" s="18">
        <f t="shared" si="30"/>
        <v>27156627.5795431</v>
      </c>
      <c r="V81" s="23">
        <f t="shared" si="31"/>
        <v>131779681.30659</v>
      </c>
      <c r="W81" s="23">
        <f t="shared" si="32"/>
        <v>8537281.52</v>
      </c>
      <c r="X81" s="23">
        <f t="shared" si="33"/>
        <v>1021292.53012608</v>
      </c>
      <c r="Y81" s="23">
        <f t="shared" si="34"/>
        <v>7515988.98987393</v>
      </c>
      <c r="Z81" s="23">
        <f t="shared" si="35"/>
        <v>124263692.316716</v>
      </c>
    </row>
    <row r="82" spans="1:26">
      <c r="A82" s="17">
        <f>A81+31</f>
        <v>47938</v>
      </c>
      <c r="B82" s="18">
        <f t="shared" si="36"/>
        <v>93395870.9261715</v>
      </c>
      <c r="C82" s="20">
        <f>713791.28+3884766</f>
        <v>4598557.28</v>
      </c>
      <c r="D82" s="18">
        <f t="shared" si="21"/>
        <v>723817.999677829</v>
      </c>
      <c r="E82" s="18">
        <f t="shared" si="22"/>
        <v>3874739.28032217</v>
      </c>
      <c r="F82" s="18">
        <f t="shared" si="23"/>
        <v>89521131.6458494</v>
      </c>
      <c r="H82" s="17">
        <f>H81+31</f>
        <v>47938</v>
      </c>
      <c r="I82" s="18">
        <f t="shared" si="37"/>
        <v>3711193.81100175</v>
      </c>
      <c r="J82" s="25">
        <v>2318560.64</v>
      </c>
      <c r="K82" s="18">
        <f t="shared" si="38"/>
        <v>28761.7520352635</v>
      </c>
      <c r="L82" s="18">
        <f t="shared" si="27"/>
        <v>2289798.88796474</v>
      </c>
      <c r="M82" s="19">
        <f t="shared" si="28"/>
        <v>1421394.92303701</v>
      </c>
      <c r="O82" s="17">
        <f>O81+31</f>
        <v>47938</v>
      </c>
      <c r="P82" s="18">
        <f t="shared" si="39"/>
        <v>27156627.5795431</v>
      </c>
      <c r="Q82" s="25">
        <v>1636641.75</v>
      </c>
      <c r="R82" s="18">
        <f t="shared" si="40"/>
        <v>210463.863741459</v>
      </c>
      <c r="S82" s="18">
        <f t="shared" si="29"/>
        <v>1426177.88625854</v>
      </c>
      <c r="T82" s="18">
        <f t="shared" si="30"/>
        <v>25730449.6932846</v>
      </c>
      <c r="V82" s="23">
        <f t="shared" si="31"/>
        <v>124263692.316716</v>
      </c>
      <c r="W82" s="23">
        <f t="shared" si="32"/>
        <v>8553759.67</v>
      </c>
      <c r="X82" s="23">
        <f t="shared" si="33"/>
        <v>963043.615454552</v>
      </c>
      <c r="Y82" s="23">
        <f t="shared" si="34"/>
        <v>7590716.05454545</v>
      </c>
      <c r="Z82" s="23">
        <f t="shared" si="35"/>
        <v>116672976.262171</v>
      </c>
    </row>
    <row r="83" spans="1:26">
      <c r="A83" s="17">
        <f>A82+29</f>
        <v>47967</v>
      </c>
      <c r="B83" s="18">
        <f t="shared" si="36"/>
        <v>89521131.6458494</v>
      </c>
      <c r="C83" s="20">
        <v>4620172.81</v>
      </c>
      <c r="D83" s="18">
        <f t="shared" si="21"/>
        <v>693788.770255333</v>
      </c>
      <c r="E83" s="18">
        <f t="shared" si="22"/>
        <v>3926384.03974467</v>
      </c>
      <c r="F83" s="18">
        <f t="shared" si="23"/>
        <v>85594747.6061047</v>
      </c>
      <c r="H83" s="17"/>
      <c r="I83" s="18"/>
      <c r="J83" s="20"/>
      <c r="K83" s="18"/>
      <c r="L83" s="18"/>
      <c r="M83" s="18"/>
      <c r="O83" s="17">
        <f>O82+29</f>
        <v>47967</v>
      </c>
      <c r="P83" s="18">
        <f t="shared" ref="P83:P99" si="41">T82</f>
        <v>25730449.6932846</v>
      </c>
      <c r="Q83" s="25">
        <v>1619116.99</v>
      </c>
      <c r="R83" s="18">
        <f t="shared" ref="R83:R103" si="42">(P83*$D$2)/12</f>
        <v>199410.985122956</v>
      </c>
      <c r="S83" s="18">
        <f t="shared" ref="S83:S103" si="43">Q83-R83</f>
        <v>1419706.00487704</v>
      </c>
      <c r="T83" s="18">
        <f t="shared" ref="T83:T103" si="44">P83-S83</f>
        <v>24310743.6884075</v>
      </c>
      <c r="V83" s="23">
        <f t="shared" si="31"/>
        <v>115251581.339134</v>
      </c>
      <c r="W83" s="23">
        <f t="shared" si="32"/>
        <v>6239289.8</v>
      </c>
      <c r="X83" s="23">
        <f t="shared" si="33"/>
        <v>893199.755378288</v>
      </c>
      <c r="Y83" s="23">
        <f t="shared" si="34"/>
        <v>5346090.04462171</v>
      </c>
      <c r="Z83" s="23">
        <f t="shared" si="35"/>
        <v>109905491.294512</v>
      </c>
    </row>
    <row r="84" spans="1:26">
      <c r="A84" s="17">
        <f>A83+31</f>
        <v>47998</v>
      </c>
      <c r="B84" s="18">
        <f t="shared" si="36"/>
        <v>85594747.6061047</v>
      </c>
      <c r="C84" s="20">
        <f>654191.91+3939995</f>
        <v>4594186.91</v>
      </c>
      <c r="D84" s="18">
        <f t="shared" si="21"/>
        <v>663359.293947311</v>
      </c>
      <c r="E84" s="18">
        <f t="shared" si="22"/>
        <v>3930827.61605269</v>
      </c>
      <c r="F84" s="18">
        <f t="shared" si="23"/>
        <v>81663919.990052</v>
      </c>
      <c r="H84" s="17"/>
      <c r="I84" s="18"/>
      <c r="J84" s="20"/>
      <c r="K84" s="18"/>
      <c r="L84" s="18"/>
      <c r="M84" s="18"/>
      <c r="O84" s="17">
        <f t="shared" ref="O84:O99" si="45">O83+31</f>
        <v>47998</v>
      </c>
      <c r="P84" s="18">
        <f t="shared" si="41"/>
        <v>24310743.6884075</v>
      </c>
      <c r="Q84" s="25">
        <v>1614005.6</v>
      </c>
      <c r="R84" s="18">
        <f t="shared" si="42"/>
        <v>188408.263585158</v>
      </c>
      <c r="S84" s="18">
        <f t="shared" si="43"/>
        <v>1425597.33641484</v>
      </c>
      <c r="T84" s="18">
        <f t="shared" si="44"/>
        <v>22885146.3519927</v>
      </c>
      <c r="V84" s="23">
        <f t="shared" si="31"/>
        <v>109905491.294512</v>
      </c>
      <c r="W84" s="23">
        <f t="shared" si="32"/>
        <v>6208192.51</v>
      </c>
      <c r="X84" s="23">
        <f t="shared" si="33"/>
        <v>851767.55753247</v>
      </c>
      <c r="Y84" s="23">
        <f t="shared" si="34"/>
        <v>5356424.95246753</v>
      </c>
      <c r="Z84" s="23">
        <f t="shared" si="35"/>
        <v>104549066.342045</v>
      </c>
    </row>
    <row r="85" spans="1:26">
      <c r="A85" s="17">
        <f>A84+31</f>
        <v>48029</v>
      </c>
      <c r="B85" s="18">
        <f t="shared" si="36"/>
        <v>81663919.990052</v>
      </c>
      <c r="C85" s="20">
        <f>4613784.64</f>
        <v>4613784.64</v>
      </c>
      <c r="D85" s="18">
        <f t="shared" si="21"/>
        <v>632895.379922903</v>
      </c>
      <c r="E85" s="18">
        <f t="shared" si="22"/>
        <v>3980889.2600771</v>
      </c>
      <c r="F85" s="18">
        <f t="shared" si="23"/>
        <v>77683030.7299749</v>
      </c>
      <c r="H85" s="17"/>
      <c r="I85" s="18"/>
      <c r="J85" s="20"/>
      <c r="K85" s="18"/>
      <c r="L85" s="18"/>
      <c r="M85" s="18"/>
      <c r="O85" s="17">
        <f t="shared" si="45"/>
        <v>48029</v>
      </c>
      <c r="P85" s="18">
        <f t="shared" si="41"/>
        <v>22885146.3519927</v>
      </c>
      <c r="Q85" s="25">
        <v>1597211.03</v>
      </c>
      <c r="R85" s="18">
        <f t="shared" si="42"/>
        <v>177359.884227943</v>
      </c>
      <c r="S85" s="18">
        <f t="shared" si="43"/>
        <v>1419851.14577206</v>
      </c>
      <c r="T85" s="18">
        <f t="shared" si="44"/>
        <v>21465295.2062206</v>
      </c>
      <c r="V85" s="23">
        <f t="shared" si="31"/>
        <v>104549066.342045</v>
      </c>
      <c r="W85" s="23">
        <f t="shared" si="32"/>
        <v>6210995.67</v>
      </c>
      <c r="X85" s="23">
        <f t="shared" si="33"/>
        <v>810255.264150847</v>
      </c>
      <c r="Y85" s="23">
        <f t="shared" si="34"/>
        <v>5400740.40584915</v>
      </c>
      <c r="Z85" s="23">
        <f t="shared" si="35"/>
        <v>99148325.9361956</v>
      </c>
    </row>
    <row r="86" spans="1:26">
      <c r="A86" s="17">
        <f>A85+31</f>
        <v>48060</v>
      </c>
      <c r="B86" s="18">
        <f t="shared" si="36"/>
        <v>77683030.7299749</v>
      </c>
      <c r="C86" s="20">
        <f>593745.25+3996009</f>
        <v>4589754.25</v>
      </c>
      <c r="D86" s="18">
        <f t="shared" si="21"/>
        <v>602043.488157306</v>
      </c>
      <c r="E86" s="18">
        <f t="shared" si="22"/>
        <v>3987710.76184269</v>
      </c>
      <c r="F86" s="18">
        <f t="shared" si="23"/>
        <v>73695319.9681322</v>
      </c>
      <c r="H86" s="17"/>
      <c r="I86" s="18"/>
      <c r="J86" s="20"/>
      <c r="K86" s="18"/>
      <c r="L86" s="18"/>
      <c r="M86" s="18"/>
      <c r="O86" s="17">
        <f t="shared" si="45"/>
        <v>48060</v>
      </c>
      <c r="P86" s="18">
        <f t="shared" si="41"/>
        <v>21465295.2062206</v>
      </c>
      <c r="Q86" s="25">
        <v>1591369.45</v>
      </c>
      <c r="R86" s="18">
        <f t="shared" si="42"/>
        <v>166356.03784821</v>
      </c>
      <c r="S86" s="18">
        <f t="shared" si="43"/>
        <v>1425013.41215179</v>
      </c>
      <c r="T86" s="18">
        <f t="shared" si="44"/>
        <v>20040281.7940689</v>
      </c>
      <c r="V86" s="23">
        <f t="shared" si="31"/>
        <v>99148325.9361956</v>
      </c>
      <c r="W86" s="23">
        <f t="shared" si="32"/>
        <v>6181123.7</v>
      </c>
      <c r="X86" s="23">
        <f t="shared" si="33"/>
        <v>768399.526005516</v>
      </c>
      <c r="Y86" s="23">
        <f t="shared" si="34"/>
        <v>5412724.17399448</v>
      </c>
      <c r="Z86" s="23">
        <f t="shared" si="35"/>
        <v>93735601.7622011</v>
      </c>
    </row>
    <row r="87" spans="1:26">
      <c r="A87" s="17">
        <f>A86+31</f>
        <v>48091</v>
      </c>
      <c r="B87" s="18">
        <f t="shared" si="36"/>
        <v>73695319.9681322</v>
      </c>
      <c r="C87" s="20">
        <f>582991.92+4024314</f>
        <v>4607305.92</v>
      </c>
      <c r="D87" s="18">
        <f t="shared" si="21"/>
        <v>571138.729753025</v>
      </c>
      <c r="E87" s="18">
        <f t="shared" si="22"/>
        <v>4036167.19024698</v>
      </c>
      <c r="F87" s="18">
        <f t="shared" si="23"/>
        <v>69659152.7778853</v>
      </c>
      <c r="H87" s="17"/>
      <c r="I87" s="18"/>
      <c r="J87" s="20"/>
      <c r="K87" s="18"/>
      <c r="L87" s="18"/>
      <c r="M87" s="18"/>
      <c r="O87" s="17">
        <f t="shared" si="45"/>
        <v>48091</v>
      </c>
      <c r="P87" s="18">
        <f t="shared" si="41"/>
        <v>20040281.7940689</v>
      </c>
      <c r="Q87" s="25">
        <v>1580051.37</v>
      </c>
      <c r="R87" s="18">
        <f t="shared" si="42"/>
        <v>155312.183904034</v>
      </c>
      <c r="S87" s="18">
        <f t="shared" si="43"/>
        <v>1424739.18609597</v>
      </c>
      <c r="T87" s="18">
        <f t="shared" si="44"/>
        <v>18615542.6079729</v>
      </c>
      <c r="V87" s="23">
        <f t="shared" si="31"/>
        <v>93735601.7622011</v>
      </c>
      <c r="W87" s="23">
        <f t="shared" si="32"/>
        <v>6187357.29</v>
      </c>
      <c r="X87" s="23">
        <f t="shared" si="33"/>
        <v>726450.913657058</v>
      </c>
      <c r="Y87" s="23">
        <f t="shared" si="34"/>
        <v>5460906.37634294</v>
      </c>
      <c r="Z87" s="23">
        <f t="shared" si="35"/>
        <v>88274695.3858581</v>
      </c>
    </row>
    <row r="88" spans="1:26">
      <c r="A88" s="17">
        <f>A87+29</f>
        <v>48120</v>
      </c>
      <c r="B88" s="18">
        <f t="shared" si="36"/>
        <v>69659152.7778853</v>
      </c>
      <c r="C88" s="20">
        <v>4604032.56</v>
      </c>
      <c r="D88" s="18">
        <f t="shared" si="21"/>
        <v>539858.434028611</v>
      </c>
      <c r="E88" s="18">
        <f t="shared" si="22"/>
        <v>4064174.12597139</v>
      </c>
      <c r="F88" s="18">
        <f t="shared" si="23"/>
        <v>65594978.6519139</v>
      </c>
      <c r="H88" s="17"/>
      <c r="I88" s="18"/>
      <c r="J88" s="20"/>
      <c r="K88" s="18"/>
      <c r="L88" s="18"/>
      <c r="M88" s="18"/>
      <c r="O88" s="17">
        <f>O87+29</f>
        <v>48120</v>
      </c>
      <c r="P88" s="18">
        <f t="shared" si="41"/>
        <v>18615542.6079729</v>
      </c>
      <c r="Q88" s="25">
        <v>1564352.1</v>
      </c>
      <c r="R88" s="18">
        <f t="shared" si="42"/>
        <v>144270.45521179</v>
      </c>
      <c r="S88" s="18">
        <f t="shared" si="43"/>
        <v>1420081.64478821</v>
      </c>
      <c r="T88" s="18">
        <f t="shared" si="44"/>
        <v>17195460.9631847</v>
      </c>
      <c r="V88" s="23">
        <f t="shared" si="31"/>
        <v>88274695.3858581</v>
      </c>
      <c r="W88" s="23">
        <f t="shared" si="32"/>
        <v>6168384.66</v>
      </c>
      <c r="X88" s="23">
        <f t="shared" si="33"/>
        <v>684128.889240401</v>
      </c>
      <c r="Y88" s="23">
        <f t="shared" si="34"/>
        <v>5484255.7707596</v>
      </c>
      <c r="Z88" s="23">
        <f t="shared" si="35"/>
        <v>82790439.6150985</v>
      </c>
    </row>
    <row r="89" spans="1:26">
      <c r="A89" s="17">
        <f>A88+31</f>
        <v>48151</v>
      </c>
      <c r="B89" s="18">
        <f t="shared" si="36"/>
        <v>65594978.6519139</v>
      </c>
      <c r="C89" s="20">
        <f>501460.12+4081527</f>
        <v>4582987.12</v>
      </c>
      <c r="D89" s="18">
        <f t="shared" si="21"/>
        <v>508361.084552332</v>
      </c>
      <c r="E89" s="18">
        <f t="shared" si="22"/>
        <v>4074626.03544767</v>
      </c>
      <c r="F89" s="18">
        <f t="shared" si="23"/>
        <v>61520352.6164662</v>
      </c>
      <c r="H89" s="17"/>
      <c r="I89" s="18"/>
      <c r="J89" s="20"/>
      <c r="K89" s="18"/>
      <c r="L89" s="18"/>
      <c r="M89" s="18"/>
      <c r="O89" s="17">
        <f t="shared" si="45"/>
        <v>48151</v>
      </c>
      <c r="P89" s="18">
        <f t="shared" si="41"/>
        <v>17195460.9631847</v>
      </c>
      <c r="Q89" s="25">
        <v>1557415.22</v>
      </c>
      <c r="R89" s="18">
        <f t="shared" si="42"/>
        <v>133264.822464681</v>
      </c>
      <c r="S89" s="18">
        <f t="shared" si="43"/>
        <v>1424150.39753532</v>
      </c>
      <c r="T89" s="18">
        <f t="shared" si="44"/>
        <v>15771310.5656494</v>
      </c>
      <c r="V89" s="23">
        <f t="shared" si="31"/>
        <v>82790439.6150985</v>
      </c>
      <c r="W89" s="23">
        <f t="shared" si="32"/>
        <v>6140402.34</v>
      </c>
      <c r="X89" s="23">
        <f t="shared" si="33"/>
        <v>641625.907017014</v>
      </c>
      <c r="Y89" s="23">
        <f t="shared" si="34"/>
        <v>5498776.43298299</v>
      </c>
      <c r="Z89" s="23">
        <f t="shared" si="35"/>
        <v>77291663.1821156</v>
      </c>
    </row>
    <row r="90" spans="1:26">
      <c r="A90" s="17">
        <f>A89+31</f>
        <v>48182</v>
      </c>
      <c r="B90" s="18">
        <f t="shared" si="36"/>
        <v>61520352.6164662</v>
      </c>
      <c r="C90" s="20">
        <f>4597414.94</f>
        <v>4597414.94</v>
      </c>
      <c r="D90" s="18">
        <f t="shared" ref="D90:D102" si="46">(B90*$D$2)/12</f>
        <v>476782.732777613</v>
      </c>
      <c r="E90" s="18">
        <f t="shared" ref="E90:E102" si="47">C90-D90</f>
        <v>4120632.20722239</v>
      </c>
      <c r="F90" s="18">
        <f t="shared" ref="F90:F102" si="48">B90-E90</f>
        <v>57399720.4092438</v>
      </c>
      <c r="H90" s="17"/>
      <c r="I90" s="18"/>
      <c r="J90" s="20"/>
      <c r="K90" s="18"/>
      <c r="L90" s="18"/>
      <c r="M90" s="18"/>
      <c r="O90" s="17">
        <f t="shared" si="45"/>
        <v>48182</v>
      </c>
      <c r="P90" s="18">
        <f t="shared" si="41"/>
        <v>15771310.5656494</v>
      </c>
      <c r="Q90" s="25">
        <v>1542446.15</v>
      </c>
      <c r="R90" s="18">
        <f t="shared" si="42"/>
        <v>122227.656883782</v>
      </c>
      <c r="S90" s="18">
        <f t="shared" si="43"/>
        <v>1420218.49311622</v>
      </c>
      <c r="T90" s="18">
        <f t="shared" si="44"/>
        <v>14351092.0725331</v>
      </c>
      <c r="V90" s="23">
        <f t="shared" si="31"/>
        <v>77291663.1821156</v>
      </c>
      <c r="W90" s="23">
        <f t="shared" si="32"/>
        <v>6139861.09</v>
      </c>
      <c r="X90" s="23">
        <f t="shared" si="33"/>
        <v>599010.389661396</v>
      </c>
      <c r="Y90" s="23">
        <f t="shared" si="34"/>
        <v>5540850.7003386</v>
      </c>
      <c r="Z90" s="23">
        <f t="shared" si="35"/>
        <v>71750812.481777</v>
      </c>
    </row>
    <row r="91" spans="1:26">
      <c r="A91" s="17">
        <f>A90+31</f>
        <v>48213</v>
      </c>
      <c r="B91" s="18">
        <f t="shared" si="36"/>
        <v>57399720.4092438</v>
      </c>
      <c r="C91" s="20">
        <f>438842.09+4139554</f>
        <v>4578396.09</v>
      </c>
      <c r="D91" s="18">
        <f t="shared" si="46"/>
        <v>444847.83317164</v>
      </c>
      <c r="E91" s="18">
        <f t="shared" si="47"/>
        <v>4133548.25682836</v>
      </c>
      <c r="F91" s="18">
        <f t="shared" si="48"/>
        <v>53266172.1524155</v>
      </c>
      <c r="H91" s="17"/>
      <c r="I91" s="18"/>
      <c r="J91" s="20"/>
      <c r="K91" s="18"/>
      <c r="L91" s="18"/>
      <c r="M91" s="18"/>
      <c r="O91" s="17">
        <f t="shared" si="45"/>
        <v>48213</v>
      </c>
      <c r="P91" s="18">
        <f t="shared" si="41"/>
        <v>14351092.0725331</v>
      </c>
      <c r="Q91" s="25">
        <v>1534779.06</v>
      </c>
      <c r="R91" s="18">
        <f t="shared" si="42"/>
        <v>111220.963562132</v>
      </c>
      <c r="S91" s="18">
        <f t="shared" si="43"/>
        <v>1423558.09643787</v>
      </c>
      <c r="T91" s="18">
        <f t="shared" si="44"/>
        <v>12927533.9760953</v>
      </c>
      <c r="V91" s="23">
        <f t="shared" si="31"/>
        <v>71750812.481777</v>
      </c>
      <c r="W91" s="23">
        <f t="shared" si="32"/>
        <v>6113175.15</v>
      </c>
      <c r="X91" s="23">
        <f t="shared" si="33"/>
        <v>556068.796733771</v>
      </c>
      <c r="Y91" s="23">
        <f t="shared" si="34"/>
        <v>5557106.35326623</v>
      </c>
      <c r="Z91" s="23">
        <f t="shared" si="35"/>
        <v>66193706.1285107</v>
      </c>
    </row>
    <row r="92" spans="1:26">
      <c r="A92" s="17">
        <f>A91+31</f>
        <v>48244</v>
      </c>
      <c r="B92" s="18">
        <f t="shared" si="36"/>
        <v>53266172.1524155</v>
      </c>
      <c r="C92" s="20">
        <f>420752.61+4168875</f>
        <v>4589627.61</v>
      </c>
      <c r="D92" s="18">
        <f t="shared" si="46"/>
        <v>412812.83418122</v>
      </c>
      <c r="E92" s="18">
        <f t="shared" si="47"/>
        <v>4176814.77581878</v>
      </c>
      <c r="F92" s="18">
        <f t="shared" si="48"/>
        <v>49089357.3765967</v>
      </c>
      <c r="H92" s="17"/>
      <c r="I92" s="18"/>
      <c r="J92" s="20"/>
      <c r="K92" s="18"/>
      <c r="L92" s="18"/>
      <c r="M92" s="18"/>
      <c r="O92" s="17">
        <f t="shared" si="45"/>
        <v>48244</v>
      </c>
      <c r="P92" s="18">
        <f t="shared" si="41"/>
        <v>12927533.9760953</v>
      </c>
      <c r="Q92" s="25">
        <v>1523221.58</v>
      </c>
      <c r="R92" s="18">
        <f t="shared" si="42"/>
        <v>100188.388314738</v>
      </c>
      <c r="S92" s="18">
        <f t="shared" si="43"/>
        <v>1423033.19168526</v>
      </c>
      <c r="T92" s="18">
        <f t="shared" si="44"/>
        <v>11504500.78441</v>
      </c>
      <c r="V92" s="23">
        <f t="shared" si="31"/>
        <v>66193706.1285107</v>
      </c>
      <c r="W92" s="23">
        <f t="shared" si="32"/>
        <v>6112849.19</v>
      </c>
      <c r="X92" s="23">
        <f t="shared" si="33"/>
        <v>513001.222495958</v>
      </c>
      <c r="Y92" s="23">
        <f t="shared" si="34"/>
        <v>5599847.96750404</v>
      </c>
      <c r="Z92" s="23">
        <f t="shared" si="35"/>
        <v>60593858.1610067</v>
      </c>
    </row>
    <row r="93" spans="1:26">
      <c r="A93" s="17">
        <f>A92+29</f>
        <v>48273</v>
      </c>
      <c r="B93" s="18">
        <f t="shared" si="36"/>
        <v>49089357.3765967</v>
      </c>
      <c r="C93" s="20">
        <v>4573772.62</v>
      </c>
      <c r="D93" s="18">
        <f t="shared" si="46"/>
        <v>380442.519668624</v>
      </c>
      <c r="E93" s="18">
        <f t="shared" si="47"/>
        <v>4193330.10033138</v>
      </c>
      <c r="F93" s="18">
        <f t="shared" si="48"/>
        <v>44896027.2762653</v>
      </c>
      <c r="H93" s="17"/>
      <c r="I93" s="18"/>
      <c r="J93" s="20"/>
      <c r="K93" s="18"/>
      <c r="L93" s="18"/>
      <c r="M93" s="18"/>
      <c r="O93" s="17">
        <f>O92+29</f>
        <v>48273</v>
      </c>
      <c r="P93" s="18">
        <f t="shared" si="41"/>
        <v>11504500.78441</v>
      </c>
      <c r="Q93" s="25">
        <v>1506829.02</v>
      </c>
      <c r="R93" s="18">
        <f t="shared" si="42"/>
        <v>89159.8810791776</v>
      </c>
      <c r="S93" s="18">
        <f t="shared" si="43"/>
        <v>1417669.13892082</v>
      </c>
      <c r="T93" s="18">
        <f t="shared" si="44"/>
        <v>10086831.6454892</v>
      </c>
      <c r="V93" s="23">
        <f t="shared" si="31"/>
        <v>60593858.1610067</v>
      </c>
      <c r="W93" s="23">
        <f t="shared" si="32"/>
        <v>6080601.64</v>
      </c>
      <c r="X93" s="23">
        <f t="shared" si="33"/>
        <v>469602.400747802</v>
      </c>
      <c r="Y93" s="23">
        <f t="shared" si="34"/>
        <v>5610999.2392522</v>
      </c>
      <c r="Z93" s="23">
        <f t="shared" si="35"/>
        <v>54982858.9217545</v>
      </c>
    </row>
    <row r="94" spans="1:26">
      <c r="A94" s="17">
        <f>A93+31</f>
        <v>48304</v>
      </c>
      <c r="B94" s="18">
        <f t="shared" si="36"/>
        <v>44896027.2762653</v>
      </c>
      <c r="C94" s="20">
        <f>342304.09+4228144</f>
        <v>4570448.09</v>
      </c>
      <c r="D94" s="18">
        <f t="shared" si="46"/>
        <v>347944.211391056</v>
      </c>
      <c r="E94" s="18">
        <f t="shared" si="47"/>
        <v>4222503.87860894</v>
      </c>
      <c r="F94" s="18">
        <f t="shared" si="48"/>
        <v>40673523.3976564</v>
      </c>
      <c r="H94" s="17"/>
      <c r="I94" s="18"/>
      <c r="J94" s="20"/>
      <c r="K94" s="18"/>
      <c r="L94" s="18"/>
      <c r="M94" s="18"/>
      <c r="O94" s="17">
        <f t="shared" si="45"/>
        <v>48304</v>
      </c>
      <c r="P94" s="18">
        <f t="shared" si="41"/>
        <v>10086831.6454892</v>
      </c>
      <c r="Q94" s="25">
        <v>1500639.3</v>
      </c>
      <c r="R94" s="18">
        <f t="shared" si="42"/>
        <v>78172.9452525412</v>
      </c>
      <c r="S94" s="18">
        <f t="shared" si="43"/>
        <v>1422466.35474746</v>
      </c>
      <c r="T94" s="18">
        <f t="shared" si="44"/>
        <v>8664365.29074173</v>
      </c>
      <c r="V94" s="23">
        <f t="shared" si="31"/>
        <v>54982858.9217545</v>
      </c>
      <c r="W94" s="23">
        <f t="shared" si="32"/>
        <v>6071087.39</v>
      </c>
      <c r="X94" s="23">
        <f t="shared" si="33"/>
        <v>426117.156643597</v>
      </c>
      <c r="Y94" s="23">
        <f t="shared" si="34"/>
        <v>5644970.2333564</v>
      </c>
      <c r="Z94" s="23">
        <f t="shared" si="35"/>
        <v>49337888.6883981</v>
      </c>
    </row>
    <row r="95" spans="1:26">
      <c r="A95" s="17">
        <f>A94+29</f>
        <v>48333</v>
      </c>
      <c r="B95" s="18">
        <f t="shared" si="36"/>
        <v>40673523.3976564</v>
      </c>
      <c r="C95" s="20">
        <f>4579576.29</f>
        <v>4579576.29</v>
      </c>
      <c r="D95" s="18">
        <f t="shared" si="46"/>
        <v>315219.806331837</v>
      </c>
      <c r="E95" s="18">
        <f t="shared" si="47"/>
        <v>4264356.48366816</v>
      </c>
      <c r="F95" s="18">
        <f t="shared" si="48"/>
        <v>36409166.9139882</v>
      </c>
      <c r="H95" s="17"/>
      <c r="I95" s="18"/>
      <c r="J95" s="20"/>
      <c r="K95" s="18"/>
      <c r="L95" s="18"/>
      <c r="M95" s="18"/>
      <c r="O95" s="17">
        <f t="shared" si="45"/>
        <v>48335</v>
      </c>
      <c r="P95" s="18">
        <f t="shared" si="41"/>
        <v>8664365.29074173</v>
      </c>
      <c r="Q95" s="25">
        <v>1487531.63</v>
      </c>
      <c r="R95" s="18">
        <f t="shared" si="42"/>
        <v>67148.8310032484</v>
      </c>
      <c r="S95" s="18">
        <f t="shared" si="43"/>
        <v>1420382.79899675</v>
      </c>
      <c r="T95" s="18">
        <f t="shared" si="44"/>
        <v>7243982.49174498</v>
      </c>
      <c r="V95" s="23">
        <f t="shared" si="31"/>
        <v>49337888.6883981</v>
      </c>
      <c r="W95" s="23">
        <f t="shared" si="32"/>
        <v>6067107.92</v>
      </c>
      <c r="X95" s="23">
        <f t="shared" si="33"/>
        <v>382368.637335085</v>
      </c>
      <c r="Y95" s="23">
        <f t="shared" si="34"/>
        <v>5684739.28266491</v>
      </c>
      <c r="Z95" s="23">
        <f t="shared" si="35"/>
        <v>43653149.4057332</v>
      </c>
    </row>
    <row r="96" spans="1:26">
      <c r="A96" s="17">
        <f>A95+31</f>
        <v>48364</v>
      </c>
      <c r="B96" s="18">
        <f t="shared" si="36"/>
        <v>36409166.9139882</v>
      </c>
      <c r="C96" s="20">
        <f>277613.92+4288255</f>
        <v>4565868.92</v>
      </c>
      <c r="D96" s="18">
        <f t="shared" si="46"/>
        <v>282171.043583409</v>
      </c>
      <c r="E96" s="18">
        <f t="shared" si="47"/>
        <v>4283697.87641659</v>
      </c>
      <c r="F96" s="18">
        <f t="shared" si="48"/>
        <v>32125469.0375716</v>
      </c>
      <c r="H96" s="17"/>
      <c r="I96" s="18"/>
      <c r="J96" s="20"/>
      <c r="K96" s="18"/>
      <c r="L96" s="18"/>
      <c r="M96" s="18"/>
      <c r="O96" s="17">
        <f t="shared" si="45"/>
        <v>48366</v>
      </c>
      <c r="P96" s="18">
        <f t="shared" si="41"/>
        <v>7243982.49174498</v>
      </c>
      <c r="Q96" s="25">
        <v>1478064.99</v>
      </c>
      <c r="R96" s="18">
        <f t="shared" si="42"/>
        <v>56140.8643110236</v>
      </c>
      <c r="S96" s="18">
        <f t="shared" si="43"/>
        <v>1421924.12568898</v>
      </c>
      <c r="T96" s="18">
        <f t="shared" si="44"/>
        <v>5822058.366056</v>
      </c>
      <c r="V96" s="23">
        <f t="shared" si="31"/>
        <v>43653149.4057332</v>
      </c>
      <c r="W96" s="23">
        <f t="shared" si="32"/>
        <v>6043933.91</v>
      </c>
      <c r="X96" s="23">
        <f t="shared" si="33"/>
        <v>338311.907894432</v>
      </c>
      <c r="Y96" s="23">
        <f t="shared" si="34"/>
        <v>5705622.00210557</v>
      </c>
      <c r="Z96" s="23">
        <f t="shared" si="35"/>
        <v>37947527.4036276</v>
      </c>
    </row>
    <row r="97" spans="1:26">
      <c r="A97" s="17">
        <f>A96+31</f>
        <v>48395</v>
      </c>
      <c r="B97" s="18">
        <f t="shared" si="36"/>
        <v>32125469.0375716</v>
      </c>
      <c r="C97" s="20">
        <v>4572808.56</v>
      </c>
      <c r="D97" s="18">
        <f t="shared" si="46"/>
        <v>248972.38504118</v>
      </c>
      <c r="E97" s="18">
        <f t="shared" si="47"/>
        <v>4323836.17495882</v>
      </c>
      <c r="F97" s="18">
        <f t="shared" si="48"/>
        <v>27801632.8626128</v>
      </c>
      <c r="H97" s="17"/>
      <c r="I97" s="18"/>
      <c r="J97" s="20"/>
      <c r="K97" s="18"/>
      <c r="L97" s="18"/>
      <c r="M97" s="18"/>
      <c r="O97" s="17">
        <f t="shared" si="45"/>
        <v>48397</v>
      </c>
      <c r="P97" s="18">
        <f t="shared" si="41"/>
        <v>5822058.366056</v>
      </c>
      <c r="Q97" s="25">
        <v>1465685.53</v>
      </c>
      <c r="R97" s="18">
        <f t="shared" si="42"/>
        <v>45120.952336934</v>
      </c>
      <c r="S97" s="18">
        <f t="shared" si="43"/>
        <v>1420564.57766307</v>
      </c>
      <c r="T97" s="18">
        <f t="shared" si="44"/>
        <v>4401493.78839293</v>
      </c>
      <c r="V97" s="23">
        <f t="shared" si="31"/>
        <v>37947527.4036276</v>
      </c>
      <c r="W97" s="23">
        <f t="shared" si="32"/>
        <v>6038494.09</v>
      </c>
      <c r="X97" s="23">
        <f t="shared" si="33"/>
        <v>294093.337378114</v>
      </c>
      <c r="Y97" s="23">
        <f t="shared" si="34"/>
        <v>5744400.75262189</v>
      </c>
      <c r="Z97" s="23">
        <f t="shared" si="35"/>
        <v>32203126.6510057</v>
      </c>
    </row>
    <row r="98" spans="1:26">
      <c r="A98" s="17">
        <f>A97+31</f>
        <v>48426</v>
      </c>
      <c r="B98" s="18">
        <f t="shared" si="36"/>
        <v>27801632.8626128</v>
      </c>
      <c r="C98" s="20">
        <f>212004.06+4349220</f>
        <v>4561224.06</v>
      </c>
      <c r="D98" s="18">
        <f t="shared" si="46"/>
        <v>215462.654685249</v>
      </c>
      <c r="E98" s="18">
        <f t="shared" si="47"/>
        <v>4345761.40531475</v>
      </c>
      <c r="F98" s="18">
        <f t="shared" si="48"/>
        <v>23455871.457298</v>
      </c>
      <c r="H98" s="17"/>
      <c r="I98" s="18"/>
      <c r="J98" s="20"/>
      <c r="K98" s="18"/>
      <c r="L98" s="18"/>
      <c r="M98" s="18"/>
      <c r="O98" s="17">
        <f t="shared" si="45"/>
        <v>48428</v>
      </c>
      <c r="P98" s="18">
        <f t="shared" si="41"/>
        <v>4401493.78839293</v>
      </c>
      <c r="Q98" s="25">
        <v>1455490.68</v>
      </c>
      <c r="R98" s="18">
        <f t="shared" si="42"/>
        <v>34111.5768600452</v>
      </c>
      <c r="S98" s="18">
        <f t="shared" si="43"/>
        <v>1421379.10313995</v>
      </c>
      <c r="T98" s="18">
        <f t="shared" si="44"/>
        <v>2980114.68525298</v>
      </c>
      <c r="V98" s="23">
        <f t="shared" si="31"/>
        <v>32203126.6510057</v>
      </c>
      <c r="W98" s="23">
        <f t="shared" si="32"/>
        <v>6016714.74</v>
      </c>
      <c r="X98" s="23">
        <f t="shared" si="33"/>
        <v>249574.231545294</v>
      </c>
      <c r="Y98" s="23">
        <f t="shared" si="34"/>
        <v>5767140.50845471</v>
      </c>
      <c r="Z98" s="23">
        <f t="shared" si="35"/>
        <v>26435986.142551</v>
      </c>
    </row>
    <row r="99" spans="1:26">
      <c r="A99" s="17">
        <f>A98+31</f>
        <v>48457</v>
      </c>
      <c r="B99" s="18">
        <f t="shared" si="36"/>
        <v>23455871.457298</v>
      </c>
      <c r="C99" s="20">
        <f>185916.27+4380027</f>
        <v>4565943.27</v>
      </c>
      <c r="D99" s="18">
        <f t="shared" si="46"/>
        <v>181783.00379406</v>
      </c>
      <c r="E99" s="18">
        <f t="shared" si="47"/>
        <v>4384160.26620594</v>
      </c>
      <c r="F99" s="18">
        <f t="shared" si="48"/>
        <v>19071711.1910921</v>
      </c>
      <c r="H99" s="17"/>
      <c r="I99" s="18"/>
      <c r="J99" s="20"/>
      <c r="K99" s="18"/>
      <c r="L99" s="18"/>
      <c r="M99" s="18"/>
      <c r="O99" s="17">
        <f t="shared" si="45"/>
        <v>48459</v>
      </c>
      <c r="P99" s="18">
        <f t="shared" si="41"/>
        <v>2980114.68525298</v>
      </c>
      <c r="Q99" s="25">
        <v>1444204.38</v>
      </c>
      <c r="R99" s="18">
        <f t="shared" si="42"/>
        <v>23095.8888107106</v>
      </c>
      <c r="S99" s="18">
        <f t="shared" si="43"/>
        <v>1421108.49118929</v>
      </c>
      <c r="T99" s="18">
        <f t="shared" si="44"/>
        <v>1559006.19406369</v>
      </c>
      <c r="V99" s="23">
        <f t="shared" si="31"/>
        <v>26435986.142551</v>
      </c>
      <c r="W99" s="23">
        <f t="shared" si="32"/>
        <v>6010147.65</v>
      </c>
      <c r="X99" s="23">
        <f t="shared" si="33"/>
        <v>204878.89260477</v>
      </c>
      <c r="Y99" s="23">
        <f t="shared" si="34"/>
        <v>5805268.75739523</v>
      </c>
      <c r="Z99" s="23">
        <f t="shared" si="35"/>
        <v>20630717.3851558</v>
      </c>
    </row>
    <row r="100" spans="1:26">
      <c r="A100" s="17">
        <f>A99+29</f>
        <v>48486</v>
      </c>
      <c r="B100" s="18">
        <f t="shared" si="36"/>
        <v>19071711.1910921</v>
      </c>
      <c r="C100" s="20">
        <f>4562475.11</f>
        <v>4562475.11</v>
      </c>
      <c r="D100" s="18">
        <f t="shared" si="46"/>
        <v>147805.761730964</v>
      </c>
      <c r="E100" s="18">
        <f t="shared" si="47"/>
        <v>4414669.34826904</v>
      </c>
      <c r="F100" s="18">
        <f t="shared" si="48"/>
        <v>14657041.8428231</v>
      </c>
      <c r="H100" s="17"/>
      <c r="I100" s="18"/>
      <c r="J100" s="20"/>
      <c r="K100" s="18"/>
      <c r="L100" s="18"/>
      <c r="M100" s="18"/>
      <c r="O100" s="17"/>
      <c r="P100" s="18"/>
      <c r="Q100" s="21"/>
      <c r="R100" s="18">
        <f t="shared" si="42"/>
        <v>0</v>
      </c>
      <c r="S100" s="18">
        <f t="shared" si="43"/>
        <v>0</v>
      </c>
      <c r="T100" s="18">
        <f t="shared" si="44"/>
        <v>0</v>
      </c>
      <c r="V100" s="23">
        <f t="shared" si="31"/>
        <v>19071711.1910921</v>
      </c>
      <c r="W100" s="23">
        <f t="shared" si="32"/>
        <v>4562475.11</v>
      </c>
      <c r="X100" s="23">
        <f t="shared" si="33"/>
        <v>147805.761730964</v>
      </c>
      <c r="Y100" s="23">
        <f t="shared" si="34"/>
        <v>4414669.34826904</v>
      </c>
      <c r="Z100" s="23">
        <f t="shared" si="35"/>
        <v>14657041.8428231</v>
      </c>
    </row>
    <row r="101" spans="1:26">
      <c r="A101" s="17">
        <f>A100+31</f>
        <v>48517</v>
      </c>
      <c r="B101" s="18">
        <f t="shared" si="36"/>
        <v>14657041.8428231</v>
      </c>
      <c r="C101" s="20">
        <f>111836.21+5125094</f>
        <v>5236930.21</v>
      </c>
      <c r="D101" s="18">
        <f t="shared" si="46"/>
        <v>113592.074281879</v>
      </c>
      <c r="E101" s="18">
        <f t="shared" si="47"/>
        <v>5123338.13571812</v>
      </c>
      <c r="F101" s="18">
        <f t="shared" si="48"/>
        <v>9533703.70710493</v>
      </c>
      <c r="H101" s="17"/>
      <c r="I101" s="18"/>
      <c r="J101" s="20"/>
      <c r="K101" s="18"/>
      <c r="L101" s="18"/>
      <c r="M101" s="18"/>
      <c r="O101" s="17"/>
      <c r="P101" s="18"/>
      <c r="Q101" s="21"/>
      <c r="R101" s="18">
        <f t="shared" si="42"/>
        <v>0</v>
      </c>
      <c r="S101" s="18">
        <f t="shared" si="43"/>
        <v>0</v>
      </c>
      <c r="T101" s="18">
        <f t="shared" si="44"/>
        <v>0</v>
      </c>
      <c r="V101" s="23">
        <f t="shared" si="31"/>
        <v>14657041.8428231</v>
      </c>
      <c r="W101" s="23">
        <f t="shared" si="32"/>
        <v>5236930.21</v>
      </c>
      <c r="X101" s="23">
        <f t="shared" si="33"/>
        <v>113592.074281879</v>
      </c>
      <c r="Y101" s="23">
        <f t="shared" si="34"/>
        <v>5123338.13571812</v>
      </c>
      <c r="Z101" s="23">
        <f t="shared" si="35"/>
        <v>9533703.70710493</v>
      </c>
    </row>
    <row r="102" spans="1:26">
      <c r="A102" s="17">
        <f>A101+31</f>
        <v>48548</v>
      </c>
      <c r="B102" s="18">
        <f t="shared" si="36"/>
        <v>9533703.70710493</v>
      </c>
      <c r="C102" s="20">
        <f>5237892.74</f>
        <v>5237892.74</v>
      </c>
      <c r="D102" s="18">
        <f t="shared" si="46"/>
        <v>73886.2037300632</v>
      </c>
      <c r="E102" s="18">
        <f t="shared" si="47"/>
        <v>5164006.53626994</v>
      </c>
      <c r="F102" s="18">
        <f t="shared" si="48"/>
        <v>4369697.170835</v>
      </c>
      <c r="H102" s="17"/>
      <c r="I102" s="18"/>
      <c r="J102" s="20"/>
      <c r="K102" s="18"/>
      <c r="L102" s="18"/>
      <c r="M102" s="18"/>
      <c r="O102" s="17"/>
      <c r="P102" s="18"/>
      <c r="Q102" s="21"/>
      <c r="R102" s="18">
        <f t="shared" si="42"/>
        <v>0</v>
      </c>
      <c r="S102" s="18">
        <f t="shared" si="43"/>
        <v>0</v>
      </c>
      <c r="T102" s="18">
        <f t="shared" si="44"/>
        <v>0</v>
      </c>
      <c r="V102" s="23">
        <f t="shared" si="31"/>
        <v>9533703.70710493</v>
      </c>
      <c r="W102" s="23">
        <f t="shared" si="32"/>
        <v>5237892.74</v>
      </c>
      <c r="X102" s="23">
        <f t="shared" si="33"/>
        <v>73886.2037300632</v>
      </c>
      <c r="Y102" s="23">
        <f t="shared" si="34"/>
        <v>5164006.53626994</v>
      </c>
      <c r="Z102" s="23">
        <f t="shared" si="35"/>
        <v>4369697.170835</v>
      </c>
    </row>
    <row r="103" spans="1:26">
      <c r="A103" s="17">
        <f>A102+31</f>
        <v>48579</v>
      </c>
      <c r="B103" s="18">
        <f t="shared" si="36"/>
        <v>4369697.170835</v>
      </c>
      <c r="C103" s="20">
        <f>33422.79+4385609.27</f>
        <v>4419032.06</v>
      </c>
      <c r="D103" s="18">
        <f t="shared" ref="D103" si="49">(B103*$D$2)/12</f>
        <v>33865.1530739712</v>
      </c>
      <c r="E103" s="18">
        <f t="shared" ref="E103" si="50">C103-D103</f>
        <v>4385166.90692603</v>
      </c>
      <c r="F103" s="19">
        <f t="shared" ref="F103" si="51">B103-E103</f>
        <v>-15469.7360910326</v>
      </c>
      <c r="H103" s="17"/>
      <c r="I103" s="18"/>
      <c r="J103" s="20"/>
      <c r="K103" s="18"/>
      <c r="L103" s="18"/>
      <c r="M103" s="18"/>
      <c r="O103" s="17"/>
      <c r="P103" s="30"/>
      <c r="Q103" s="21"/>
      <c r="R103" s="18">
        <f t="shared" si="42"/>
        <v>0</v>
      </c>
      <c r="S103" s="18">
        <f t="shared" si="43"/>
        <v>0</v>
      </c>
      <c r="T103" s="18">
        <f t="shared" si="44"/>
        <v>0</v>
      </c>
      <c r="V103" s="23">
        <f t="shared" si="31"/>
        <v>4369697.170835</v>
      </c>
      <c r="W103" s="23">
        <f t="shared" si="32"/>
        <v>4419032.06</v>
      </c>
      <c r="X103" s="23">
        <f t="shared" si="33"/>
        <v>33865.1530739712</v>
      </c>
      <c r="Y103" s="23">
        <f t="shared" si="34"/>
        <v>4385166.90692603</v>
      </c>
      <c r="Z103" s="23">
        <f t="shared" si="35"/>
        <v>-15469.7360910326</v>
      </c>
    </row>
    <row r="104" ht="15" spans="2:26">
      <c r="B104" s="29">
        <f t="shared" si="36"/>
        <v>-15469.7360910326</v>
      </c>
      <c r="E104" s="12">
        <f>SUM(E4:E103)</f>
        <v>297394266.916091</v>
      </c>
      <c r="I104" s="31"/>
      <c r="L104" s="12">
        <f>SUM(L4:L103)</f>
        <v>179547547.576963</v>
      </c>
      <c r="P104" s="31"/>
      <c r="S104" s="12">
        <f>SUM(S4:S103)</f>
        <v>135267026.805936</v>
      </c>
      <c r="V104" s="32"/>
      <c r="W104" s="32"/>
      <c r="X104" s="33">
        <f>SUM(X4:X103)</f>
        <v>242088818.63101</v>
      </c>
      <c r="Y104" s="33">
        <f>SUM(Y4:Y103)</f>
        <v>610734664.90001</v>
      </c>
      <c r="Z104" s="32"/>
    </row>
    <row r="105" spans="26:26">
      <c r="Z105" s="26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abSelected="1" workbookViewId="0">
      <selection activeCell="C24" sqref="C24"/>
    </sheetView>
  </sheetViews>
  <sheetFormatPr defaultColWidth="9" defaultRowHeight="14.25" outlineLevelCol="4"/>
  <cols>
    <col min="1" max="1" width="6.55833333333333" customWidth="1"/>
    <col min="2" max="2" width="17.8833333333333" customWidth="1"/>
    <col min="3" max="3" width="21.4416666666667" customWidth="1"/>
    <col min="4" max="4" width="12.1083333333333" customWidth="1"/>
    <col min="5" max="5" width="11.1083333333333" customWidth="1"/>
  </cols>
  <sheetData>
    <row r="1" spans="1:1">
      <c r="A1" t="s">
        <v>23</v>
      </c>
    </row>
    <row r="2" spans="1:4">
      <c r="A2" t="s">
        <v>24</v>
      </c>
      <c r="D2" t="s">
        <v>25</v>
      </c>
    </row>
    <row r="5" ht="15" spans="1:3">
      <c r="A5" s="1" t="s">
        <v>26</v>
      </c>
      <c r="B5" s="1" t="s">
        <v>27</v>
      </c>
      <c r="C5" s="2" t="s">
        <v>28</v>
      </c>
    </row>
    <row r="6" spans="1:3">
      <c r="A6" s="3">
        <v>1</v>
      </c>
      <c r="B6" t="s">
        <v>29</v>
      </c>
      <c r="C6" s="4">
        <f>'Kotak - TL Repayment Schedule'!Z1</f>
        <v>615173772.68</v>
      </c>
    </row>
    <row r="7" spans="1:3">
      <c r="A7" s="3">
        <v>2</v>
      </c>
      <c r="B7" t="s">
        <v>30</v>
      </c>
      <c r="C7" s="4">
        <v>71800000</v>
      </c>
    </row>
    <row r="8" spans="1:3">
      <c r="A8" s="3">
        <v>3</v>
      </c>
      <c r="B8" t="s">
        <v>31</v>
      </c>
      <c r="C8" s="4">
        <v>100000000</v>
      </c>
    </row>
    <row r="9" spans="1:3">
      <c r="A9" s="3">
        <v>4</v>
      </c>
      <c r="B9" t="s">
        <v>32</v>
      </c>
      <c r="C9" s="4">
        <v>10000000</v>
      </c>
    </row>
    <row r="10" ht="15" spans="1:3">
      <c r="A10" s="5"/>
      <c r="B10" s="5" t="s">
        <v>4</v>
      </c>
      <c r="C10" s="6">
        <f>SUM(C6:C9)</f>
        <v>796973772.68</v>
      </c>
    </row>
    <row r="11" spans="1:1">
      <c r="A11" t="s">
        <v>33</v>
      </c>
    </row>
    <row r="13" ht="15" spans="2:5">
      <c r="B13" s="7" t="s">
        <v>34</v>
      </c>
      <c r="E13" s="7"/>
    </row>
    <row r="14" ht="15" spans="1:4">
      <c r="A14" s="1" t="s">
        <v>26</v>
      </c>
      <c r="B14" s="1" t="s">
        <v>35</v>
      </c>
      <c r="C14" s="1" t="s">
        <v>36</v>
      </c>
      <c r="D14" s="1" t="s">
        <v>37</v>
      </c>
    </row>
    <row r="15" spans="1:4">
      <c r="A15">
        <v>1</v>
      </c>
      <c r="B15" s="8">
        <v>45630</v>
      </c>
      <c r="C15" t="s">
        <v>38</v>
      </c>
      <c r="D15" s="4">
        <v>29621652</v>
      </c>
    </row>
    <row r="16" spans="1:4">
      <c r="A16">
        <v>2</v>
      </c>
      <c r="B16" s="8">
        <v>45623</v>
      </c>
      <c r="C16" t="s">
        <v>39</v>
      </c>
      <c r="D16" s="4">
        <v>6191709</v>
      </c>
    </row>
    <row r="17" spans="1:4">
      <c r="A17">
        <v>3</v>
      </c>
      <c r="B17" s="8">
        <v>45628</v>
      </c>
      <c r="C17" t="s">
        <v>40</v>
      </c>
      <c r="D17" s="4">
        <v>5048342</v>
      </c>
    </row>
    <row r="18" spans="1:4">
      <c r="A18">
        <v>4</v>
      </c>
      <c r="B18" s="8">
        <v>45644</v>
      </c>
      <c r="C18" t="s">
        <v>41</v>
      </c>
      <c r="D18" s="4">
        <v>3874585</v>
      </c>
    </row>
    <row r="19" spans="1:4">
      <c r="A19">
        <v>5</v>
      </c>
      <c r="B19" s="8">
        <v>45649</v>
      </c>
      <c r="C19" t="s">
        <v>42</v>
      </c>
      <c r="D19" s="4">
        <v>3266719</v>
      </c>
    </row>
    <row r="20" spans="1:4">
      <c r="A20">
        <v>5</v>
      </c>
      <c r="B20" s="8">
        <v>45659</v>
      </c>
      <c r="C20" t="s">
        <v>43</v>
      </c>
      <c r="D20" s="4">
        <v>3548689</v>
      </c>
    </row>
    <row r="21" spans="1:4">
      <c r="A21">
        <v>6</v>
      </c>
      <c r="B21" s="8">
        <v>45665</v>
      </c>
      <c r="C21" t="s">
        <v>44</v>
      </c>
      <c r="D21" s="4">
        <v>2898734</v>
      </c>
    </row>
    <row r="22" spans="1:4">
      <c r="A22" s="5"/>
      <c r="B22" s="5"/>
      <c r="C22" s="5" t="s">
        <v>45</v>
      </c>
      <c r="D22" s="9">
        <f>SUM(D15:D21)</f>
        <v>54450430</v>
      </c>
    </row>
    <row r="23" spans="1:4">
      <c r="A23" s="5"/>
      <c r="B23" s="5"/>
      <c r="C23" s="5" t="s">
        <v>46</v>
      </c>
      <c r="D23" s="9">
        <f>C7-D22</f>
        <v>17349570</v>
      </c>
    </row>
    <row r="24" ht="15" spans="1:4">
      <c r="A24" s="5"/>
      <c r="B24" s="5"/>
      <c r="C24" s="1" t="s">
        <v>47</v>
      </c>
      <c r="D24" s="9"/>
    </row>
  </sheetData>
  <printOptions gridLines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ICICI Os &amp; Kotak Take over</vt:lpstr>
      <vt:lpstr>Kotak - TL Repayment Schedule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 Mppl</dc:creator>
  <cp:lastModifiedBy>temp</cp:lastModifiedBy>
  <dcterms:created xsi:type="dcterms:W3CDTF">2024-09-20T21:11:00Z</dcterms:created>
  <cp:lastPrinted>2024-12-20T12:23:00Z</cp:lastPrinted>
  <dcterms:modified xsi:type="dcterms:W3CDTF">2025-01-09T12:30:54Z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31AB9B6FBCC74B8D946380EBE6599C62_13</vt:lpwstr>
  </property>
  <property fmtid="{D5CDD505-2E9C-101B-9397-08002B2CF9AE}" pid="3" name="KSOProductBuildVer">
    <vt:lpwstr>1033-12.2.0.19307</vt:lpwstr>
  </property>
</Properties>
</file>