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20"/>
  </bookViews>
  <sheets>
    <sheet name="GHT Ver 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<sst xmlns="http://schemas.openxmlformats.org/spreadsheetml/2006/main" count="60" uniqueCount="55">
  <si>
    <t>Statement of Cost &amp; Means</t>
  </si>
  <si>
    <t>Company name : Mehta &amp; Modi Realty Kowkur LLP</t>
  </si>
  <si>
    <t>Project Name :</t>
  </si>
  <si>
    <t>Greenwood Heights</t>
  </si>
  <si>
    <t>Prepared By : Nagamalleswar</t>
  </si>
  <si>
    <t>Date :</t>
  </si>
  <si>
    <t>I.  SOURCE OF FUNDS</t>
  </si>
  <si>
    <t>S.No</t>
  </si>
  <si>
    <t>Estimated Funds required</t>
  </si>
  <si>
    <t>Received FY 19-20</t>
  </si>
  <si>
    <t>Received FY 20-21</t>
  </si>
  <si>
    <t>Received FY 21-22</t>
  </si>
  <si>
    <t>Received FY 22-23</t>
  </si>
  <si>
    <t>Received FY 23-24</t>
  </si>
  <si>
    <t>Received FY 24-25</t>
  </si>
  <si>
    <t>Total</t>
  </si>
  <si>
    <t>Balance Funds required</t>
  </si>
  <si>
    <t>Partner's capital</t>
  </si>
  <si>
    <t>Share of Profit/Loss</t>
  </si>
  <si>
    <t>Secured Loans</t>
  </si>
  <si>
    <t>Unsecured Loans</t>
  </si>
  <si>
    <t>Deposits</t>
  </si>
  <si>
    <t>Sales</t>
  </si>
  <si>
    <t xml:space="preserve">     sold Units ( 79385 Sft)-Amt Received -</t>
  </si>
  <si>
    <t xml:space="preserve">     sold Units (Sft)-Amt Receivable</t>
  </si>
  <si>
    <t xml:space="preserve">     Unsold Units ( 153030 Sft)</t>
  </si>
  <si>
    <t>Rent Receipts</t>
  </si>
  <si>
    <t>Other Receipts</t>
  </si>
  <si>
    <t>II. APPLICATION OF FUNDS</t>
  </si>
  <si>
    <t>Estimated Project cost</t>
  </si>
  <si>
    <t>Cost incurred for FY 19-20</t>
  </si>
  <si>
    <t>Cost incurred for FY 20-21</t>
  </si>
  <si>
    <t>Cost incurred for FY 21-22</t>
  </si>
  <si>
    <t>Cost incurred for FY 22-23</t>
  </si>
  <si>
    <t>Cost incurred for FY 23-24</t>
  </si>
  <si>
    <t>Cost incurred for FY 24-25 (upto 30Sep 2024)</t>
  </si>
  <si>
    <t>Balance Cost</t>
  </si>
  <si>
    <t>Land, Reg., Commission/Brokerage</t>
  </si>
  <si>
    <t>Fees &amp; Permits</t>
  </si>
  <si>
    <t>Civil + RCC+MEP+Finishing -Rs2050 Per Sft ( Total Sft 207060)</t>
  </si>
  <si>
    <t>Fixed Assets</t>
  </si>
  <si>
    <t>Finance Cost -Rs50 Per Sft</t>
  </si>
  <si>
    <t xml:space="preserve">GST </t>
  </si>
  <si>
    <t>Advance paid to Suppliers, Contractors &amp; Others (Net)</t>
  </si>
  <si>
    <t>Admin Expenses -Rs 100 Per Sft</t>
  </si>
  <si>
    <t>Profit Before Tax</t>
  </si>
  <si>
    <t>Loan Repayment</t>
  </si>
  <si>
    <t>Invested Capital Withdrawal &amp; Loan Repayment</t>
  </si>
  <si>
    <t>IV. CASH &amp; BANK BALANCES</t>
  </si>
  <si>
    <t>DSRA</t>
  </si>
  <si>
    <t>Other Deposits</t>
  </si>
  <si>
    <t>Fixed Deposits</t>
  </si>
  <si>
    <t>Bank Balances</t>
  </si>
  <si>
    <t>Cash in hand</t>
  </si>
  <si>
    <t>Grand Total (III-IV)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</si>
</sst>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 * #,##0_ ;_ * \-#,##0_ ;_ * &quot;-&quot;??_ ;_ @_ "/>
    <numFmt numFmtId="182" formatCode="dd/mm/yyyy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81" fontId="0" fillId="0" borderId="0" xfId="0" applyNumberFormat="1"/>
    <xf numFmtId="176" fontId="0" fillId="0" borderId="0" xfId="0" applyNumberFormat="1"/>
    <xf numFmtId="0" fontId="0" fillId="0" borderId="0" xfId="0" applyAlignment="1">
      <alignment horizontal="center" wrapText="1"/>
    </xf>
    <xf numFmtId="181" fontId="0" fillId="0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181" fontId="0" fillId="2" borderId="0" xfId="1" applyNumberFormat="1" applyFont="1" applyFill="1"/>
    <xf numFmtId="181" fontId="0" fillId="0" borderId="0" xfId="1" applyNumberFormat="1" applyFont="1" applyFill="1"/>
    <xf numFmtId="181" fontId="0" fillId="0" borderId="1" xfId="1" applyNumberFormat="1" applyFont="1" applyFill="1" applyBorder="1"/>
    <xf numFmtId="176" fontId="0" fillId="0" borderId="0" xfId="1" applyFont="1" applyFill="1"/>
    <xf numFmtId="181" fontId="0" fillId="0" borderId="0" xfId="1" applyNumberFormat="1" applyFont="1" applyFill="1" applyAlignment="1">
      <alignment wrapText="1"/>
    </xf>
    <xf numFmtId="181" fontId="0" fillId="0" borderId="0" xfId="1" applyNumberFormat="1"/>
    <xf numFmtId="180" fontId="2" fillId="0" borderId="0" xfId="1" applyNumberFormat="1" applyFont="1"/>
    <xf numFmtId="182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81" fontId="0" fillId="0" borderId="0" xfId="0" applyNumberFormat="1" applyAlignment="1">
      <alignment wrapText="1"/>
    </xf>
    <xf numFmtId="176" fontId="0" fillId="0" borderId="0" xfId="1" applyFont="1" applyFill="1" applyAlignment="1">
      <alignment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"/>
  <sheetViews>
    <sheetView tabSelected="1" zoomScale="83" zoomScaleNormal="83" workbookViewId="0">
      <selection activeCell="I4" sqref="I4"/>
    </sheetView>
  </sheetViews>
  <sheetFormatPr defaultColWidth="9" defaultRowHeight="15"/>
  <cols>
    <col min="2" max="2" width="42.4380952380952" customWidth="1"/>
    <col min="3" max="3" width="15.552380952381" customWidth="1"/>
    <col min="4" max="4" width="17.6666666666667" customWidth="1"/>
    <col min="5" max="5" width="16.7809523809524" customWidth="1"/>
    <col min="6" max="6" width="18" customWidth="1"/>
    <col min="7" max="7" width="17.7809523809524" customWidth="1"/>
    <col min="8" max="8" width="17" customWidth="1"/>
    <col min="9" max="9" width="17.552380952381" customWidth="1"/>
    <col min="10" max="10" width="14.8857142857143" customWidth="1"/>
    <col min="11" max="11" width="15.552380952381" customWidth="1"/>
    <col min="12" max="12" width="11.8857142857143" customWidth="1"/>
    <col min="13" max="13" width="11.6666666666667" customWidth="1"/>
  </cols>
  <sheetData>
    <row r="1" spans="1:1">
      <c r="A1" s="2" t="s">
        <v>0</v>
      </c>
    </row>
    <row r="2" spans="1:9">
      <c r="A2" t="s">
        <v>1</v>
      </c>
      <c r="H2" t="s">
        <v>2</v>
      </c>
      <c r="I2" t="s">
        <v>3</v>
      </c>
    </row>
    <row r="3" spans="1:9">
      <c r="A3" t="s">
        <v>4</v>
      </c>
      <c r="H3" t="s">
        <v>5</v>
      </c>
      <c r="I3" s="15">
        <v>45755</v>
      </c>
    </row>
    <row r="5" spans="5:10">
      <c r="E5" s="3"/>
      <c r="G5" s="3"/>
      <c r="H5" s="3"/>
      <c r="I5" s="3"/>
      <c r="J5" s="3"/>
    </row>
    <row r="6" spans="2:8">
      <c r="B6" s="2" t="s">
        <v>6</v>
      </c>
      <c r="F6" s="4"/>
      <c r="G6" s="4"/>
      <c r="H6" s="3"/>
    </row>
    <row r="7" s="1" customFormat="1" ht="30" spans="1:13">
      <c r="A7" s="5" t="s">
        <v>7</v>
      </c>
      <c r="C7" s="1" t="s">
        <v>8</v>
      </c>
      <c r="D7" s="6" t="s">
        <v>9</v>
      </c>
      <c r="E7" s="6" t="s">
        <v>10</v>
      </c>
      <c r="F7" s="6" t="s">
        <v>11</v>
      </c>
      <c r="G7" s="5" t="s">
        <v>12</v>
      </c>
      <c r="H7" s="5" t="s">
        <v>13</v>
      </c>
      <c r="I7" s="1" t="s">
        <v>14</v>
      </c>
      <c r="J7" s="1" t="s">
        <v>15</v>
      </c>
      <c r="K7" s="16" t="s">
        <v>16</v>
      </c>
      <c r="M7" s="17"/>
    </row>
    <row r="8" spans="1:13">
      <c r="A8" s="7">
        <v>1</v>
      </c>
      <c r="B8" t="s">
        <v>17</v>
      </c>
      <c r="C8" s="8">
        <v>50000000</v>
      </c>
      <c r="D8" s="9">
        <f>29928994.24</f>
        <v>29928994.24</v>
      </c>
      <c r="E8" s="9">
        <f>26528818.14-D8</f>
        <v>-3400176.1</v>
      </c>
      <c r="F8" s="9">
        <f>28618048.7505599-D8-E8</f>
        <v>2089230.6105599</v>
      </c>
      <c r="G8" s="9">
        <f>70066365.4490965-D8-E8-F8</f>
        <v>41448316.6985366</v>
      </c>
      <c r="H8" s="9">
        <f>81583884-D8-E8-F8-G8</f>
        <v>11517518.5509035</v>
      </c>
      <c r="I8" s="9">
        <f>84773884-D8-E8-F8-G8-H8</f>
        <v>3190000</v>
      </c>
      <c r="J8" s="9">
        <f>SUM(D8:I8)</f>
        <v>84773884</v>
      </c>
      <c r="K8" s="9">
        <f>C8-J8</f>
        <v>-34773884</v>
      </c>
      <c r="L8" s="3"/>
      <c r="M8" s="3"/>
    </row>
    <row r="9" spans="1:13">
      <c r="A9" s="7"/>
      <c r="B9" t="s">
        <v>18</v>
      </c>
      <c r="C9" s="9"/>
      <c r="D9" s="9">
        <v>6605431.76</v>
      </c>
      <c r="E9" s="9">
        <v>5442720.1</v>
      </c>
      <c r="F9" s="9">
        <v>-12102851.6105599</v>
      </c>
      <c r="G9" s="9">
        <v>-612637.28909649</v>
      </c>
      <c r="H9" s="9">
        <v>-615619</v>
      </c>
      <c r="I9" s="9">
        <v>4757037.07570648</v>
      </c>
      <c r="J9" s="9">
        <f t="shared" ref="J9:J18" si="0">SUM(D9:I9)</f>
        <v>3474081.03605009</v>
      </c>
      <c r="K9" s="9">
        <f>C9-J9</f>
        <v>-3474081.03605009</v>
      </c>
      <c r="L9" s="3"/>
      <c r="M9" s="3"/>
    </row>
    <row r="10" spans="1:13">
      <c r="A10" s="7">
        <v>2</v>
      </c>
      <c r="B10" t="s">
        <v>19</v>
      </c>
      <c r="C10" s="9">
        <v>100000000</v>
      </c>
      <c r="D10" s="9"/>
      <c r="E10" s="9">
        <v>20000000</v>
      </c>
      <c r="F10" s="9">
        <f>60000000</f>
        <v>60000000</v>
      </c>
      <c r="G10" s="9">
        <v>20000000</v>
      </c>
      <c r="H10" s="9">
        <v>0</v>
      </c>
      <c r="I10" s="9">
        <v>0</v>
      </c>
      <c r="J10" s="9">
        <f t="shared" si="0"/>
        <v>100000000</v>
      </c>
      <c r="K10" s="9">
        <f t="shared" ref="K10:K18" si="1">C10-J10</f>
        <v>0</v>
      </c>
      <c r="L10" s="3"/>
      <c r="M10" s="3"/>
    </row>
    <row r="11" spans="1:12">
      <c r="A11" s="7">
        <v>3</v>
      </c>
      <c r="B11" t="s">
        <v>20</v>
      </c>
      <c r="C11" s="9">
        <v>3500000</v>
      </c>
      <c r="D11" s="9">
        <v>16500000</v>
      </c>
      <c r="E11" s="9">
        <v>5020267</v>
      </c>
      <c r="F11" s="9">
        <f>28599000</f>
        <v>28599000</v>
      </c>
      <c r="G11" s="9">
        <f>3500000+16486225-2000000</f>
        <v>17986225</v>
      </c>
      <c r="H11" s="9">
        <v>5979822</v>
      </c>
      <c r="I11" s="9">
        <f>1967309+17962600</f>
        <v>19929909</v>
      </c>
      <c r="J11" s="9">
        <f t="shared" si="0"/>
        <v>94015223</v>
      </c>
      <c r="K11" s="9">
        <f t="shared" si="1"/>
        <v>-90515223</v>
      </c>
      <c r="L11" s="3"/>
    </row>
    <row r="12" spans="1:13">
      <c r="A12" s="7">
        <v>4</v>
      </c>
      <c r="B12" t="s">
        <v>21</v>
      </c>
      <c r="C12" s="9"/>
      <c r="D12" s="9"/>
      <c r="E12" s="9"/>
      <c r="F12" s="9"/>
      <c r="G12" s="9"/>
      <c r="H12" s="9">
        <v>0</v>
      </c>
      <c r="I12" s="9">
        <v>0</v>
      </c>
      <c r="J12" s="9">
        <f t="shared" si="0"/>
        <v>0</v>
      </c>
      <c r="K12" s="9">
        <f t="shared" si="1"/>
        <v>0</v>
      </c>
      <c r="L12" s="3"/>
      <c r="M12" s="3"/>
    </row>
    <row r="13" spans="1:12">
      <c r="A13" s="7">
        <v>5</v>
      </c>
      <c r="B13" t="s">
        <v>22</v>
      </c>
      <c r="C13" s="9"/>
      <c r="D13" s="9"/>
      <c r="E13" s="9"/>
      <c r="F13" s="9"/>
      <c r="G13" s="9"/>
      <c r="H13" s="9">
        <v>0</v>
      </c>
      <c r="I13" s="9">
        <v>0</v>
      </c>
      <c r="J13" s="9">
        <f t="shared" si="0"/>
        <v>0</v>
      </c>
      <c r="K13" s="9">
        <f t="shared" si="1"/>
        <v>0</v>
      </c>
      <c r="L13" s="3"/>
    </row>
    <row r="14" spans="1:12">
      <c r="A14" s="7"/>
      <c r="B14" t="s">
        <v>23</v>
      </c>
      <c r="C14" s="9">
        <f>109457000+176571346</f>
        <v>286028346</v>
      </c>
      <c r="D14" s="9">
        <v>18165000</v>
      </c>
      <c r="E14" s="9">
        <v>33214125</v>
      </c>
      <c r="F14" s="9">
        <v>99669988</v>
      </c>
      <c r="G14" s="9">
        <v>87295428.5</v>
      </c>
      <c r="H14" s="9">
        <v>69075738.82</v>
      </c>
      <c r="I14" s="9">
        <v>11711069</v>
      </c>
      <c r="J14" s="9">
        <f t="shared" si="0"/>
        <v>319131349.32</v>
      </c>
      <c r="K14" s="9">
        <f t="shared" si="1"/>
        <v>-33103003.32</v>
      </c>
      <c r="L14" s="3"/>
    </row>
    <row r="15" spans="1:12">
      <c r="A15" s="7"/>
      <c r="B15" t="s">
        <v>24</v>
      </c>
      <c r="C15" s="9">
        <v>50251654</v>
      </c>
      <c r="D15" s="9"/>
      <c r="E15" s="9"/>
      <c r="F15" s="9"/>
      <c r="G15" s="9"/>
      <c r="H15" s="9">
        <v>0</v>
      </c>
      <c r="I15" s="9">
        <v>0</v>
      </c>
      <c r="J15" s="9">
        <f t="shared" si="0"/>
        <v>0</v>
      </c>
      <c r="K15" s="9">
        <f t="shared" si="1"/>
        <v>50251654</v>
      </c>
      <c r="L15" s="3"/>
    </row>
    <row r="16" spans="1:12">
      <c r="A16" s="7"/>
      <c r="B16" t="s">
        <v>25</v>
      </c>
      <c r="C16" s="9">
        <f>153030*4300</f>
        <v>658029000</v>
      </c>
      <c r="D16" s="9"/>
      <c r="E16" s="9"/>
      <c r="F16" s="9"/>
      <c r="G16" s="9"/>
      <c r="H16" s="9"/>
      <c r="I16" s="9">
        <v>0</v>
      </c>
      <c r="J16" s="9">
        <f t="shared" si="0"/>
        <v>0</v>
      </c>
      <c r="K16" s="9">
        <f t="shared" si="1"/>
        <v>658029000</v>
      </c>
      <c r="L16" s="3"/>
    </row>
    <row r="17" spans="1:11">
      <c r="A17" s="7">
        <v>6</v>
      </c>
      <c r="B17" t="s">
        <v>26</v>
      </c>
      <c r="C17" s="9"/>
      <c r="D17" s="9"/>
      <c r="E17" s="9"/>
      <c r="F17" s="9"/>
      <c r="G17" s="9"/>
      <c r="H17" s="9"/>
      <c r="I17" s="9">
        <v>0</v>
      </c>
      <c r="J17" s="9">
        <f t="shared" si="0"/>
        <v>0</v>
      </c>
      <c r="K17" s="9">
        <f t="shared" si="1"/>
        <v>0</v>
      </c>
    </row>
    <row r="18" spans="1:12">
      <c r="A18" s="7">
        <v>7</v>
      </c>
      <c r="B18" t="s">
        <v>27</v>
      </c>
      <c r="C18" s="9">
        <v>873077</v>
      </c>
      <c r="D18" s="9">
        <v>126270</v>
      </c>
      <c r="E18" s="9">
        <v>144524.96</v>
      </c>
      <c r="F18" s="9">
        <v>149953</v>
      </c>
      <c r="G18" s="9">
        <v>21343</v>
      </c>
      <c r="H18" s="9">
        <v>387092</v>
      </c>
      <c r="I18" s="9">
        <v>9241</v>
      </c>
      <c r="J18" s="9">
        <f t="shared" si="0"/>
        <v>838423.96</v>
      </c>
      <c r="K18" s="9">
        <f t="shared" si="1"/>
        <v>34653.04</v>
      </c>
      <c r="L18" s="3"/>
    </row>
    <row r="19" ht="15.75" spans="2:12">
      <c r="B19" t="s">
        <v>15</v>
      </c>
      <c r="C19" s="10">
        <f>SUM(C8:C18)</f>
        <v>1148682077</v>
      </c>
      <c r="D19" s="10">
        <f>SUM(D8:D18)</f>
        <v>71325696</v>
      </c>
      <c r="E19" s="10">
        <f>SUM(E8:E18)</f>
        <v>60421460.96</v>
      </c>
      <c r="F19" s="10">
        <f t="shared" ref="D19:K19" si="2">SUM(F8:F18)</f>
        <v>178405320</v>
      </c>
      <c r="G19" s="10">
        <f t="shared" si="2"/>
        <v>166138675.90944</v>
      </c>
      <c r="H19" s="10">
        <f t="shared" si="2"/>
        <v>86344552.3709035</v>
      </c>
      <c r="I19" s="10">
        <f t="shared" si="2"/>
        <v>39597256.0757065</v>
      </c>
      <c r="J19" s="10">
        <f t="shared" si="2"/>
        <v>602232961.31605</v>
      </c>
      <c r="K19" s="10">
        <f t="shared" si="2"/>
        <v>546449115.68395</v>
      </c>
      <c r="L19" s="3"/>
    </row>
    <row r="20" ht="15.75" spans="3:11">
      <c r="C20" s="11"/>
      <c r="D20" s="11"/>
      <c r="E20" s="11"/>
      <c r="F20" s="11"/>
      <c r="G20" s="9"/>
      <c r="K20" s="3">
        <f>C19-J19-K19</f>
        <v>0</v>
      </c>
    </row>
    <row r="21" spans="2:13">
      <c r="B21" s="2" t="s">
        <v>28</v>
      </c>
      <c r="G21" s="9"/>
      <c r="M21" s="3"/>
    </row>
    <row r="22" ht="45" spans="3:13">
      <c r="C22" s="1" t="s">
        <v>29</v>
      </c>
      <c r="D22" s="6" t="s">
        <v>30</v>
      </c>
      <c r="E22" s="6" t="s">
        <v>31</v>
      </c>
      <c r="F22" s="6" t="s">
        <v>32</v>
      </c>
      <c r="G22" s="6" t="s">
        <v>33</v>
      </c>
      <c r="H22" s="5" t="s">
        <v>34</v>
      </c>
      <c r="I22" s="5" t="s">
        <v>35</v>
      </c>
      <c r="J22" s="1" t="s">
        <v>15</v>
      </c>
      <c r="K22" s="1" t="s">
        <v>36</v>
      </c>
      <c r="M22" s="3"/>
    </row>
    <row r="23" spans="1:11">
      <c r="A23" s="7">
        <v>1</v>
      </c>
      <c r="B23" t="s">
        <v>37</v>
      </c>
      <c r="C23" s="9"/>
      <c r="D23" s="11">
        <v>0</v>
      </c>
      <c r="E23" s="9">
        <v>382664</v>
      </c>
      <c r="F23" s="9">
        <v>455644</v>
      </c>
      <c r="G23" s="9">
        <v>532709</v>
      </c>
      <c r="H23" s="9">
        <v>1245540</v>
      </c>
      <c r="I23" s="9">
        <v>66066</v>
      </c>
      <c r="J23" s="9">
        <f>SUM(D23:I23)</f>
        <v>2682623</v>
      </c>
      <c r="K23" s="9">
        <f>C23-J23</f>
        <v>-2682623</v>
      </c>
    </row>
    <row r="24" spans="1:11">
      <c r="A24" s="7">
        <v>2</v>
      </c>
      <c r="B24" t="s">
        <v>38</v>
      </c>
      <c r="C24" s="9">
        <v>19421042</v>
      </c>
      <c r="D24" s="9">
        <v>19421042</v>
      </c>
      <c r="E24" s="9">
        <v>0</v>
      </c>
      <c r="F24" s="9">
        <v>0</v>
      </c>
      <c r="G24" s="9">
        <v>0</v>
      </c>
      <c r="H24" s="9"/>
      <c r="I24" s="9"/>
      <c r="J24" s="9">
        <f t="shared" ref="J24:J33" si="3">SUM(D24:I24)</f>
        <v>19421042</v>
      </c>
      <c r="K24" s="9">
        <f t="shared" ref="K24:K32" si="4">C24-J24</f>
        <v>0</v>
      </c>
    </row>
    <row r="25" ht="30" spans="1:11">
      <c r="A25" s="7">
        <v>3</v>
      </c>
      <c r="B25" s="1" t="s">
        <v>39</v>
      </c>
      <c r="C25" s="9">
        <f>2050*207060</f>
        <v>424473000</v>
      </c>
      <c r="D25" s="9">
        <f>26899654.66-D24</f>
        <v>7478612.66</v>
      </c>
      <c r="E25" s="9">
        <f>42648788.61-1889027</f>
        <v>40759761.61</v>
      </c>
      <c r="F25" s="9">
        <f>125836949.82-4646067</f>
        <v>121190882.82</v>
      </c>
      <c r="G25" s="9">
        <f>138455155.15-8912100</f>
        <v>129543055.15</v>
      </c>
      <c r="H25" s="9">
        <f>43479140.32-5320667</f>
        <v>38158473.32</v>
      </c>
      <c r="I25" s="9">
        <f>44402266-1850430</f>
        <v>42551836</v>
      </c>
      <c r="J25" s="9">
        <f t="shared" si="3"/>
        <v>379682621.56</v>
      </c>
      <c r="K25" s="9">
        <f t="shared" si="4"/>
        <v>44790378.44</v>
      </c>
    </row>
    <row r="26" spans="1:11">
      <c r="A26" s="7">
        <v>4</v>
      </c>
      <c r="B26" t="s">
        <v>40</v>
      </c>
      <c r="C26" s="9"/>
      <c r="D26" s="9"/>
      <c r="E26" s="9"/>
      <c r="F26" s="9">
        <v>0</v>
      </c>
      <c r="G26" s="9">
        <v>0</v>
      </c>
      <c r="H26" s="9"/>
      <c r="I26" s="9"/>
      <c r="J26" s="9">
        <f t="shared" si="3"/>
        <v>0</v>
      </c>
      <c r="K26" s="9">
        <f t="shared" si="4"/>
        <v>0</v>
      </c>
    </row>
    <row r="27" spans="1:11">
      <c r="A27" s="7">
        <v>5</v>
      </c>
      <c r="B27" t="s">
        <v>41</v>
      </c>
      <c r="C27" s="9">
        <f>207060*50</f>
        <v>10353000</v>
      </c>
      <c r="D27" s="9">
        <f>1159949</f>
        <v>1159949</v>
      </c>
      <c r="E27" s="9">
        <f>1889026.94</f>
        <v>1889026.94</v>
      </c>
      <c r="F27" s="9">
        <f>4646067</f>
        <v>4646067</v>
      </c>
      <c r="G27" s="9">
        <v>8912100</v>
      </c>
      <c r="H27" s="9">
        <v>5320667.03</v>
      </c>
      <c r="I27" s="9">
        <f>1850430</f>
        <v>1850430</v>
      </c>
      <c r="J27" s="9">
        <f t="shared" si="3"/>
        <v>23778239.97</v>
      </c>
      <c r="K27" s="9">
        <f t="shared" si="4"/>
        <v>-13425239.97</v>
      </c>
    </row>
    <row r="28" spans="1:11">
      <c r="A28" s="7">
        <v>6</v>
      </c>
      <c r="B28" t="s">
        <v>42</v>
      </c>
      <c r="C28" s="9"/>
      <c r="D28" s="9">
        <v>0</v>
      </c>
      <c r="E28" s="9"/>
      <c r="F28" s="9"/>
      <c r="G28" s="9"/>
      <c r="H28" s="9"/>
      <c r="I28" s="9"/>
      <c r="J28" s="9">
        <f t="shared" si="3"/>
        <v>0</v>
      </c>
      <c r="K28" s="9">
        <f t="shared" si="4"/>
        <v>0</v>
      </c>
    </row>
    <row r="29" s="1" customFormat="1" ht="30" spans="1:12">
      <c r="A29" s="7">
        <v>7</v>
      </c>
      <c r="B29" s="1" t="s">
        <v>43</v>
      </c>
      <c r="C29" s="12">
        <v>0</v>
      </c>
      <c r="D29" s="12">
        <f>10647338-866540</f>
        <v>9780798</v>
      </c>
      <c r="E29" s="12">
        <f>14250291-D29-1606050</f>
        <v>2863443</v>
      </c>
      <c r="F29" s="12">
        <f>30382227-D29-E29+4045959</f>
        <v>21783945</v>
      </c>
      <c r="G29" s="12">
        <f>13595492-E29-F29+1395421</f>
        <v>-9656475</v>
      </c>
      <c r="H29" s="9">
        <f>16207696-D29-E29-F29-G29</f>
        <v>-8564015</v>
      </c>
      <c r="I29" s="9">
        <f>-1982063-D29-E29-F29-G29-H29</f>
        <v>-18189759</v>
      </c>
      <c r="J29" s="9">
        <f t="shared" si="3"/>
        <v>-1982063</v>
      </c>
      <c r="K29" s="9">
        <f t="shared" si="4"/>
        <v>1982063</v>
      </c>
      <c r="L29" s="17"/>
    </row>
    <row r="30" spans="1:11">
      <c r="A30" s="7">
        <v>8</v>
      </c>
      <c r="B30" t="s">
        <v>44</v>
      </c>
      <c r="C30" s="9">
        <f>207060*100</f>
        <v>20706000</v>
      </c>
      <c r="D30" s="9">
        <f>6731701.76-1159949</f>
        <v>5571752.76</v>
      </c>
      <c r="E30" s="9">
        <f>5587245.06-382664</f>
        <v>5204581.06</v>
      </c>
      <c r="F30" s="9">
        <f>6877284-455644</f>
        <v>6421640</v>
      </c>
      <c r="G30" s="9">
        <f>9284600-532709</f>
        <v>8751891</v>
      </c>
      <c r="H30" s="9">
        <f>11150572-1245540</f>
        <v>9905032</v>
      </c>
      <c r="I30" s="9">
        <f>4053884-66066</f>
        <v>3987818</v>
      </c>
      <c r="J30" s="9">
        <f t="shared" si="3"/>
        <v>39842714.82</v>
      </c>
      <c r="K30" s="9">
        <f t="shared" si="4"/>
        <v>-19136714.82</v>
      </c>
    </row>
    <row r="31" spans="1:11">
      <c r="A31" s="7">
        <v>9</v>
      </c>
      <c r="B31" t="s">
        <v>45</v>
      </c>
      <c r="C31" s="9">
        <v>170740313</v>
      </c>
      <c r="D31" s="9"/>
      <c r="E31" s="9"/>
      <c r="F31" s="9"/>
      <c r="G31" s="9"/>
      <c r="H31" s="9"/>
      <c r="I31" s="9"/>
      <c r="J31" s="9">
        <f t="shared" si="3"/>
        <v>0</v>
      </c>
      <c r="K31" s="9">
        <f t="shared" si="4"/>
        <v>170740313</v>
      </c>
    </row>
    <row r="32" spans="1:11">
      <c r="A32" s="7">
        <v>10</v>
      </c>
      <c r="B32" t="s">
        <v>46</v>
      </c>
      <c r="C32" s="9"/>
      <c r="D32" s="9">
        <v>9500000</v>
      </c>
      <c r="E32" s="9">
        <f>8000000+2641038</f>
        <v>10641038</v>
      </c>
      <c r="F32" s="9">
        <f>18564760+5548575</f>
        <v>24113335</v>
      </c>
      <c r="G32" s="13">
        <f>3500000+28857906</f>
        <v>32357906</v>
      </c>
      <c r="H32" s="9">
        <f>2979715+30896488+7274589</f>
        <v>41150792</v>
      </c>
      <c r="I32" s="9">
        <f>2795107+4787597</f>
        <v>7582704</v>
      </c>
      <c r="J32" s="9">
        <f t="shared" si="3"/>
        <v>125345775</v>
      </c>
      <c r="K32" s="9">
        <f t="shared" si="4"/>
        <v>-125345775</v>
      </c>
    </row>
    <row r="33" spans="1:11">
      <c r="A33" s="7">
        <v>10</v>
      </c>
      <c r="B33" t="s">
        <v>47</v>
      </c>
      <c r="C33" s="9">
        <f>100550000+3500000+873077</f>
        <v>104923077</v>
      </c>
      <c r="D33" s="9">
        <v>0</v>
      </c>
      <c r="E33" s="9">
        <v>0</v>
      </c>
      <c r="F33" s="9">
        <v>0</v>
      </c>
      <c r="G33" s="9"/>
      <c r="H33" s="9"/>
      <c r="I33" s="9"/>
      <c r="J33" s="9">
        <f t="shared" si="3"/>
        <v>0</v>
      </c>
      <c r="K33" s="9">
        <v>104923077</v>
      </c>
    </row>
    <row r="34" ht="15.75" spans="2:11">
      <c r="B34" t="s">
        <v>15</v>
      </c>
      <c r="C34" s="10">
        <f>SUM(C23:C33)</f>
        <v>750616432</v>
      </c>
      <c r="D34" s="10">
        <f t="shared" ref="D34:K34" si="5">SUM(D23:D33)</f>
        <v>52912154.42</v>
      </c>
      <c r="E34" s="10">
        <f t="shared" si="5"/>
        <v>61740514.61</v>
      </c>
      <c r="F34" s="10">
        <f t="shared" si="5"/>
        <v>178611513.82</v>
      </c>
      <c r="G34" s="10">
        <f t="shared" si="5"/>
        <v>170441186.15</v>
      </c>
      <c r="H34" s="10">
        <f t="shared" si="5"/>
        <v>87216489.35</v>
      </c>
      <c r="I34" s="10">
        <f t="shared" si="5"/>
        <v>37849095</v>
      </c>
      <c r="J34" s="10">
        <f t="shared" si="5"/>
        <v>588770953.35</v>
      </c>
      <c r="K34" s="10">
        <f t="shared" si="5"/>
        <v>161845478.65</v>
      </c>
    </row>
    <row r="35" ht="15.75" spans="3:11">
      <c r="C35" s="9"/>
      <c r="D35" s="9"/>
      <c r="E35" s="9"/>
      <c r="F35" s="9"/>
      <c r="G35" s="9"/>
      <c r="H35" s="9"/>
      <c r="I35" s="9"/>
      <c r="J35" s="9"/>
      <c r="K35" s="9"/>
    </row>
    <row r="36" spans="3:11">
      <c r="C36" s="9"/>
      <c r="D36" s="9"/>
      <c r="E36" s="9"/>
      <c r="F36" s="9"/>
      <c r="G36" s="9"/>
      <c r="H36" s="9"/>
      <c r="I36" s="9"/>
      <c r="J36" s="9"/>
      <c r="K36" s="3"/>
    </row>
    <row r="37" spans="2:11">
      <c r="B37" s="2" t="s">
        <v>48</v>
      </c>
      <c r="C37" s="11"/>
      <c r="D37" s="11"/>
      <c r="E37" s="11"/>
      <c r="F37" s="11"/>
      <c r="G37" s="11"/>
      <c r="H37" s="11"/>
      <c r="I37" s="11"/>
      <c r="J37" s="18" t="s">
        <v>15</v>
      </c>
      <c r="K37" s="3"/>
    </row>
    <row r="38" spans="1:11">
      <c r="A38" s="7">
        <v>1</v>
      </c>
      <c r="B38" t="s">
        <v>49</v>
      </c>
      <c r="C38" s="9"/>
      <c r="D38" s="9"/>
      <c r="E38" s="9"/>
      <c r="F38" s="9">
        <v>0</v>
      </c>
      <c r="G38" s="9">
        <v>0</v>
      </c>
      <c r="H38" s="9">
        <v>0</v>
      </c>
      <c r="I38" s="9">
        <v>0</v>
      </c>
      <c r="J38" s="9">
        <f t="shared" ref="J38:J43" si="6">SUM(C38:I38)</f>
        <v>0</v>
      </c>
      <c r="K38" s="3"/>
    </row>
    <row r="39" spans="1:10">
      <c r="A39" s="7">
        <v>2</v>
      </c>
      <c r="B39" t="s">
        <v>50</v>
      </c>
      <c r="C39" s="9"/>
      <c r="D39" s="9">
        <v>10325120</v>
      </c>
      <c r="E39" s="9">
        <v>0</v>
      </c>
      <c r="F39" s="9">
        <f>11509720-D39-E39</f>
        <v>1184600</v>
      </c>
      <c r="G39" s="9">
        <f>11672826-D39-E39-F39</f>
        <v>163106</v>
      </c>
      <c r="H39" s="9">
        <f>10708798-D39-E39-F39-G39</f>
        <v>-964028</v>
      </c>
      <c r="I39" s="9">
        <f>10439846-D39-E39-F39-G39-H39</f>
        <v>-268952</v>
      </c>
      <c r="J39" s="9">
        <f t="shared" si="6"/>
        <v>10439846</v>
      </c>
    </row>
    <row r="40" spans="1:11">
      <c r="A40" s="7">
        <v>3</v>
      </c>
      <c r="B40" t="s">
        <v>51</v>
      </c>
      <c r="C40" s="9"/>
      <c r="D40" s="9"/>
      <c r="E40" s="9">
        <f>5515167</f>
        <v>5515167</v>
      </c>
      <c r="F40" s="9">
        <f>5017754-E40</f>
        <v>-497413</v>
      </c>
      <c r="G40" s="9">
        <f>-E40-F40</f>
        <v>-5017754</v>
      </c>
      <c r="H40" s="9">
        <v>0</v>
      </c>
      <c r="I40" s="9">
        <v>0</v>
      </c>
      <c r="J40" s="9">
        <f t="shared" si="6"/>
        <v>0</v>
      </c>
      <c r="K40" s="3"/>
    </row>
    <row r="41" spans="1:11">
      <c r="A41" s="7">
        <v>4</v>
      </c>
      <c r="B41" t="s">
        <v>52</v>
      </c>
      <c r="C41" s="9"/>
      <c r="D41" s="9">
        <v>7970731.9</v>
      </c>
      <c r="E41" s="9">
        <f>1193596-D41</f>
        <v>-6777135.9</v>
      </c>
      <c r="F41" s="9">
        <f>256142-D41-E41</f>
        <v>-937454</v>
      </c>
      <c r="G41" s="9">
        <f>793684.52-D41-E41-F41</f>
        <v>537542.52</v>
      </c>
      <c r="H41" s="9">
        <f>892808.73-D41-E41-F41-G41</f>
        <v>99124.2100000009</v>
      </c>
      <c r="I41" s="9">
        <f>2906453-D41-E41-F41-G41-H41</f>
        <v>2013644.27</v>
      </c>
      <c r="J41" s="9">
        <f t="shared" si="6"/>
        <v>2906453</v>
      </c>
      <c r="K41" s="3"/>
    </row>
    <row r="42" spans="1:10">
      <c r="A42" s="7">
        <v>5</v>
      </c>
      <c r="B42" t="s">
        <v>53</v>
      </c>
      <c r="C42" s="9"/>
      <c r="D42" s="9">
        <v>117690</v>
      </c>
      <c r="E42" s="9">
        <f>60605-D42</f>
        <v>-57085</v>
      </c>
      <c r="F42" s="9">
        <f>104678-D42-E42</f>
        <v>44073</v>
      </c>
      <c r="G42" s="14">
        <f>119273-D42-E42-F42</f>
        <v>14595</v>
      </c>
      <c r="H42" s="9">
        <f>112240-D42-E42-F42-G42</f>
        <v>-7033</v>
      </c>
      <c r="I42" s="9">
        <f>115709-D42-E42-F42-G42-H42</f>
        <v>3469</v>
      </c>
      <c r="J42" s="9">
        <f t="shared" si="6"/>
        <v>115709</v>
      </c>
    </row>
    <row r="43" spans="3:10">
      <c r="C43" s="9"/>
      <c r="D43" s="9"/>
      <c r="E43" s="9"/>
      <c r="F43" s="9"/>
      <c r="G43" s="9"/>
      <c r="H43" s="9">
        <v>0</v>
      </c>
      <c r="I43" s="9"/>
      <c r="J43" s="9">
        <f t="shared" si="6"/>
        <v>0</v>
      </c>
    </row>
    <row r="44" ht="15.75" spans="2:10">
      <c r="B44" t="s">
        <v>15</v>
      </c>
      <c r="C44" s="10">
        <f>SUM(C38:C43)</f>
        <v>0</v>
      </c>
      <c r="D44" s="10">
        <f>SUM(D38:D43)</f>
        <v>18413541.9</v>
      </c>
      <c r="E44" s="10">
        <f t="shared" ref="D44:J44" si="7">SUM(E38:E43)</f>
        <v>-1319053.9</v>
      </c>
      <c r="F44" s="10">
        <f t="shared" si="7"/>
        <v>-206194</v>
      </c>
      <c r="G44" s="10">
        <f t="shared" si="7"/>
        <v>-4302510.48</v>
      </c>
      <c r="H44" s="10">
        <f t="shared" si="7"/>
        <v>-871936.789999999</v>
      </c>
      <c r="I44" s="10">
        <f t="shared" si="7"/>
        <v>1748161.27</v>
      </c>
      <c r="J44" s="10">
        <f t="shared" si="7"/>
        <v>13462008</v>
      </c>
    </row>
    <row r="45" ht="15.75" spans="3:10">
      <c r="C45" s="9"/>
      <c r="D45" s="11"/>
      <c r="E45" s="9"/>
      <c r="F45" s="9"/>
      <c r="G45" s="9"/>
      <c r="H45" s="9"/>
      <c r="I45" s="9"/>
      <c r="J45" s="9"/>
    </row>
    <row r="46" ht="15.75" spans="2:10">
      <c r="B46" t="s">
        <v>54</v>
      </c>
      <c r="C46" s="10">
        <f>C19-C34</f>
        <v>398065645</v>
      </c>
      <c r="D46" s="10">
        <f t="shared" ref="D46:J46" si="8">D19-D34-D44</f>
        <v>-0.319999992847443</v>
      </c>
      <c r="E46" s="10">
        <f t="shared" si="8"/>
        <v>0.250000001862645</v>
      </c>
      <c r="F46" s="10">
        <f t="shared" si="8"/>
        <v>0.180000007152557</v>
      </c>
      <c r="G46" s="10">
        <f t="shared" si="8"/>
        <v>0.239440094679594</v>
      </c>
      <c r="H46" s="10">
        <f t="shared" si="8"/>
        <v>-0.189096502959728</v>
      </c>
      <c r="I46" s="10">
        <f t="shared" si="8"/>
        <v>-0.194293517619371</v>
      </c>
      <c r="J46" s="10">
        <f t="shared" si="8"/>
        <v>-0.0339498519897461</v>
      </c>
    </row>
    <row r="47" ht="15.75" spans="3:10">
      <c r="C47" s="9"/>
      <c r="D47" s="9"/>
      <c r="E47" s="9"/>
      <c r="F47" s="9"/>
      <c r="G47" s="9"/>
      <c r="H47" s="9"/>
      <c r="I47" s="9"/>
      <c r="J47" s="9"/>
    </row>
    <row r="48" spans="6:9">
      <c r="F48" s="3"/>
      <c r="H48" s="3"/>
      <c r="I48" s="3"/>
    </row>
    <row r="49" spans="4:8">
      <c r="D49" s="3"/>
      <c r="E49" s="3"/>
      <c r="F49" s="3"/>
      <c r="G49" s="3"/>
      <c r="H49" s="4"/>
    </row>
    <row r="50" spans="6:9">
      <c r="F50" s="3"/>
      <c r="G50" s="3"/>
      <c r="H50" s="3"/>
      <c r="I50" s="3"/>
    </row>
    <row r="51" spans="4:5">
      <c r="D51" s="3"/>
      <c r="E51" s="3"/>
    </row>
    <row r="52" spans="5:8">
      <c r="E52" s="3"/>
      <c r="F52" s="3"/>
      <c r="G52" s="3"/>
      <c r="H52" s="3"/>
    </row>
    <row r="53" spans="5:8">
      <c r="E53" s="3"/>
      <c r="F53" s="3"/>
      <c r="H53" s="3"/>
    </row>
    <row r="54" spans="4:6">
      <c r="D54" s="3"/>
      <c r="E54" s="3"/>
      <c r="F54" s="3"/>
    </row>
  </sheetData>
  <printOptions gridLines="1"/>
  <pageMargins left="0.708661417322835" right="0.708661417322835" top="0.748031496062992" bottom="0.748031496062992" header="0.31496062992126" footer="0.31496062992126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GHT Ver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mppl .</dc:creator>
  <cp:lastModifiedBy>Nagamalleswar</cp:lastModifiedBy>
  <dcterms:created xsi:type="dcterms:W3CDTF">2024-09-30T07:59:00Z</dcterms:created>
  <cp:lastPrinted>2024-11-04T07:23:00Z</cp:lastPrinted>
  <dcterms:modified xsi:type="dcterms:W3CDTF">2025-04-25T01:33:39Z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2B0D1CC01AAF4AC3B215F4B2E50F05D5_13</vt:lpwstr>
  </property>
  <property fmtid="{D5CDD505-2E9C-101B-9397-08002B2CF9AE}" pid="3" name="KSOProductBuildVer">
    <vt:lpwstr>1033-12.2.0.20795</vt:lpwstr>
  </property>
</Properties>
</file>