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C\Desktop\All Projects Cost Vs Means\MPL\"/>
    </mc:Choice>
  </mc:AlternateContent>
  <xr:revisionPtr revIDLastSave="0" documentId="13_ncr:1_{3F6AA3C7-8F3B-4505-BC42-8A6EA5367649}" xr6:coauthVersionLast="47" xr6:coauthVersionMax="47" xr10:uidLastSave="{00000000-0000-0000-0000-000000000000}"/>
  <bookViews>
    <workbookView xWindow="-108" yWindow="-108" windowWidth="23256" windowHeight="12456" xr2:uid="{D4C181D8-B983-4F79-9909-5054E8C7B7B0}"/>
  </bookViews>
  <sheets>
    <sheet name="MPL" sheetId="9" r:id="rId1"/>
  </sheets>
  <externalReferences>
    <externalReference r:id="rId2"/>
  </externalReferences>
  <definedNames>
    <definedName name="_xlnm.Print_Area" localSheetId="0">MPL!$A$1:$L$48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9" l="1"/>
  <c r="H28" i="9"/>
  <c r="J14" i="9"/>
  <c r="K38" i="9" l="1"/>
  <c r="K39" i="9"/>
  <c r="K40" i="9"/>
  <c r="K41" i="9"/>
  <c r="K25" i="9"/>
  <c r="K26" i="9"/>
  <c r="K27" i="9"/>
  <c r="K28" i="9"/>
  <c r="K29" i="9"/>
  <c r="K30" i="9"/>
  <c r="K31" i="9"/>
  <c r="K32" i="9"/>
  <c r="K9" i="9"/>
  <c r="K10" i="9"/>
  <c r="K11" i="9"/>
  <c r="K12" i="9"/>
  <c r="K13" i="9"/>
  <c r="K14" i="9"/>
  <c r="K15" i="9"/>
  <c r="K16" i="9"/>
  <c r="K17" i="9"/>
  <c r="K18" i="9"/>
  <c r="J32" i="9" l="1"/>
  <c r="E32" i="9"/>
  <c r="F32" i="9" l="1"/>
  <c r="G32" i="9" s="1"/>
  <c r="H32" i="9" l="1"/>
  <c r="I32" i="9" s="1"/>
  <c r="J39" i="9" l="1"/>
  <c r="J10" i="9"/>
  <c r="J18" i="9"/>
  <c r="C16" i="9"/>
  <c r="C25" i="9"/>
  <c r="E83" i="9" l="1"/>
  <c r="E82" i="9"/>
  <c r="E81" i="9"/>
  <c r="E80" i="9"/>
  <c r="E79" i="9"/>
  <c r="D42" i="9"/>
  <c r="C42" i="9"/>
  <c r="F41" i="9"/>
  <c r="E40" i="9"/>
  <c r="E38" i="9"/>
  <c r="K37" i="9"/>
  <c r="L31" i="9"/>
  <c r="I30" i="9"/>
  <c r="L29" i="9"/>
  <c r="L28" i="9"/>
  <c r="L27" i="9"/>
  <c r="L26" i="9"/>
  <c r="I25" i="9"/>
  <c r="H25" i="9"/>
  <c r="G25" i="9"/>
  <c r="F25" i="9"/>
  <c r="E25" i="9"/>
  <c r="D25" i="9"/>
  <c r="D33" i="9" s="1"/>
  <c r="E24" i="9"/>
  <c r="K23" i="9"/>
  <c r="L23" i="9" s="1"/>
  <c r="I18" i="9"/>
  <c r="E18" i="9"/>
  <c r="D18" i="9"/>
  <c r="L17" i="9"/>
  <c r="L15" i="9"/>
  <c r="L14" i="9"/>
  <c r="L13" i="9"/>
  <c r="L12" i="9"/>
  <c r="L11" i="9"/>
  <c r="I10" i="9"/>
  <c r="H10" i="9"/>
  <c r="G10" i="9"/>
  <c r="F10" i="9"/>
  <c r="E10" i="9"/>
  <c r="C9" i="9"/>
  <c r="K24" i="9" l="1"/>
  <c r="L24" i="9" s="1"/>
  <c r="L9" i="9"/>
  <c r="C19" i="9"/>
  <c r="L16" i="9"/>
  <c r="L18" i="9"/>
  <c r="G38" i="9"/>
  <c r="H38" i="9" s="1"/>
  <c r="I38" i="9" s="1"/>
  <c r="L10" i="9"/>
  <c r="E19" i="9"/>
  <c r="L25" i="9"/>
  <c r="C30" i="9"/>
  <c r="F33" i="9"/>
  <c r="F19" i="9"/>
  <c r="E33" i="9"/>
  <c r="G41" i="9"/>
  <c r="E42" i="9"/>
  <c r="D19" i="9"/>
  <c r="F40" i="9"/>
  <c r="L30" i="9" l="1"/>
  <c r="C33" i="9"/>
  <c r="H41" i="9"/>
  <c r="I41" i="9" s="1"/>
  <c r="G40" i="9"/>
  <c r="G42" i="9" s="1"/>
  <c r="F42" i="9"/>
  <c r="J38" i="9"/>
  <c r="C44" i="9" l="1"/>
  <c r="J41" i="9"/>
  <c r="G33" i="9"/>
  <c r="H33" i="9"/>
  <c r="G19" i="9"/>
  <c r="H19" i="9"/>
  <c r="H40" i="9"/>
  <c r="H42" i="9" l="1"/>
  <c r="J40" i="9"/>
  <c r="J42" i="9" s="1"/>
  <c r="I40" i="9"/>
  <c r="I42" i="9" s="1"/>
  <c r="I33" i="9"/>
  <c r="I19" i="9"/>
  <c r="K42" i="9" l="1"/>
  <c r="J19" i="9"/>
  <c r="J33" i="9"/>
  <c r="K8" i="9" l="1"/>
  <c r="L32" i="9"/>
  <c r="L33" i="9" s="1"/>
  <c r="L8" i="9" l="1"/>
  <c r="L19" i="9" s="1"/>
  <c r="K19" i="9"/>
  <c r="K33" i="9"/>
  <c r="K44" i="9" l="1"/>
</calcChain>
</file>

<file path=xl/sharedStrings.xml><?xml version="1.0" encoding="utf-8"?>
<sst xmlns="http://schemas.openxmlformats.org/spreadsheetml/2006/main" count="63" uniqueCount="58">
  <si>
    <t>Statement of Cost &amp; Means</t>
  </si>
  <si>
    <t>Project Name :</t>
  </si>
  <si>
    <t>Prepared By : Sangeetha</t>
  </si>
  <si>
    <t>Date :</t>
  </si>
  <si>
    <t>I.  SOURCE OF FUNDS</t>
  </si>
  <si>
    <t>S.No</t>
  </si>
  <si>
    <t>Estimated Funds required</t>
  </si>
  <si>
    <t>Received  FY 18-19</t>
  </si>
  <si>
    <t>Received FY 19-20</t>
  </si>
  <si>
    <t>Received FY 20-21</t>
  </si>
  <si>
    <t>Received FY 21-22</t>
  </si>
  <si>
    <t>Received FY 22-23</t>
  </si>
  <si>
    <t>Received FY 23-24</t>
  </si>
  <si>
    <t>Received FY 24-25</t>
  </si>
  <si>
    <t>Total</t>
  </si>
  <si>
    <t>Balance Funds required</t>
  </si>
  <si>
    <t>Secured Loans</t>
  </si>
  <si>
    <t>Repaid</t>
  </si>
  <si>
    <t>Unsecured Loans</t>
  </si>
  <si>
    <t>Deposits</t>
  </si>
  <si>
    <t>Sales</t>
  </si>
  <si>
    <t xml:space="preserve">     sold Units (Sft)-Amt Receivable</t>
  </si>
  <si>
    <t>Rent Receipts</t>
  </si>
  <si>
    <t>Other Receipts</t>
  </si>
  <si>
    <t>II. APPLICATION OF FUNDS</t>
  </si>
  <si>
    <t>Estimated Project cost</t>
  </si>
  <si>
    <t>Cost incurred for FY 18-19</t>
  </si>
  <si>
    <t>Cost incurred for FY 19-20</t>
  </si>
  <si>
    <t>Cost incurred for FY 20-21</t>
  </si>
  <si>
    <t>Cost incurred for FY 21-22</t>
  </si>
  <si>
    <t>Cost incurred for FY 22-23</t>
  </si>
  <si>
    <t>Cost incurred for FY 23-24</t>
  </si>
  <si>
    <t>Cost incurred for FY 24-25 (upto 30Sep 2024)</t>
  </si>
  <si>
    <t>Balance Cost</t>
  </si>
  <si>
    <t>Land, Reg., Commission/Brokerage</t>
  </si>
  <si>
    <t>Fees &amp; Permits</t>
  </si>
  <si>
    <t>Fixed Assets</t>
  </si>
  <si>
    <t>Advance paid to Suppliers, Contractors &amp; Others (Net)</t>
  </si>
  <si>
    <t>Profit Before Tax</t>
  </si>
  <si>
    <t>Invested Capital Withdrawal &amp; Loan Repayment</t>
  </si>
  <si>
    <t>IV. CASH &amp; BANK BALANCES</t>
  </si>
  <si>
    <t>DSRA</t>
  </si>
  <si>
    <t>Other Deposits</t>
  </si>
  <si>
    <t>Fixed Deposits</t>
  </si>
  <si>
    <t>Bank Balances</t>
  </si>
  <si>
    <t>Cash in hand</t>
  </si>
  <si>
    <t>Grand Total (III-IV)</t>
  </si>
  <si>
    <t>Company name : Modi Properties Pvt Ltd</t>
  </si>
  <si>
    <t>May Flower Platinum</t>
  </si>
  <si>
    <t>Promoters Contribution'</t>
  </si>
  <si>
    <t>Forfeited</t>
  </si>
  <si>
    <t xml:space="preserve">     Unsold Units ( 6640 Sft)</t>
  </si>
  <si>
    <t>Civil + RCC+MEP+Finishing -Rs2110 Per Sft ( Total Sft 313600)</t>
  </si>
  <si>
    <t xml:space="preserve">GST </t>
  </si>
  <si>
    <t xml:space="preserve">Finance Cost </t>
  </si>
  <si>
    <t xml:space="preserve">Admin Expenses </t>
  </si>
  <si>
    <t>15-04-2025</t>
  </si>
  <si>
    <t xml:space="preserve">     sold Units ( 199180 Sft)-Amt Received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</si>
</sst>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NumberFormat="1" applyFont="1" applyFill="1" applyAlignment="1">
      <alignment horizontal="center" wrapText="1"/>
    </xf>
    <xf numFmtId="164" fontId="0" fillId="0" borderId="0" xfId="1" applyNumberFormat="1" applyFont="1" applyFill="1"/>
    <xf numFmtId="164" fontId="0" fillId="0" borderId="1" xfId="1" applyNumberFormat="1" applyFont="1" applyFill="1" applyBorder="1"/>
    <xf numFmtId="43" fontId="0" fillId="0" borderId="0" xfId="1" applyFont="1" applyFill="1"/>
    <xf numFmtId="164" fontId="0" fillId="0" borderId="0" xfId="1" applyNumberFormat="1" applyFont="1" applyFill="1" applyAlignment="1">
      <alignment wrapText="1"/>
    </xf>
    <xf numFmtId="43" fontId="0" fillId="0" borderId="0" xfId="1" applyFont="1" applyFill="1" applyAlignment="1">
      <alignment wrapText="1"/>
    </xf>
    <xf numFmtId="0" fontId="2" fillId="0" borderId="0" xfId="0" applyFont="1"/>
    <xf numFmtId="14" fontId="0" fillId="0" borderId="0" xfId="0" quotePrefix="1" applyNumberFormat="1" applyAlignment="1">
      <alignment horizontal="left"/>
    </xf>
    <xf numFmtId="164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wrapText="1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0.9\d\My%20Documents%20of%20Accounts\Mayflower%20Platinum\Project%20Financials\June%202022\MPL-Project%20financial%20status%20%20statement%2030-06-2022%20ver4B.xls" TargetMode="External"/><Relationship Id="rId1" Type="http://schemas.openxmlformats.org/officeDocument/2006/relationships/externalLinkPath" Target="file:///\\192.168.0.9\d\My%20Documents%20of%20Accounts\Mayflower%20Platinum\Project%20Financials\June%202022\MPL-Project%20financial%20status%20%20statement%2030-06-2022%20ver4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Working - WI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">
          <cell r="B11">
            <v>1571538</v>
          </cell>
          <cell r="C11">
            <v>27133144.300000001</v>
          </cell>
          <cell r="D11">
            <v>152004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0DF63-342A-4762-9B41-B180E734A9F8}">
  <sheetPr>
    <pageSetUpPr fitToPage="1"/>
  </sheetPr>
  <dimension ref="A1:N83"/>
  <sheetViews>
    <sheetView tabSelected="1" topLeftCell="B1" zoomScale="90" zoomScaleNormal="90" workbookViewId="0">
      <selection activeCell="B15" sqref="B15"/>
    </sheetView>
  </sheetViews>
  <sheetFormatPr defaultRowHeight="14.4" x14ac:dyDescent="0.3"/>
  <cols>
    <col min="2" max="2" width="42.44140625" bestFit="1" customWidth="1"/>
    <col min="3" max="3" width="15.5546875" bestFit="1" customWidth="1"/>
    <col min="4" max="4" width="17.33203125" customWidth="1"/>
    <col min="5" max="5" width="17.6640625" customWidth="1"/>
    <col min="6" max="6" width="16.77734375" customWidth="1"/>
    <col min="7" max="7" width="18" customWidth="1"/>
    <col min="8" max="8" width="17.77734375" customWidth="1"/>
    <col min="9" max="9" width="17" customWidth="1"/>
    <col min="10" max="10" width="17.5546875" customWidth="1"/>
    <col min="11" max="11" width="14.88671875" bestFit="1" customWidth="1"/>
    <col min="12" max="12" width="15.5546875" bestFit="1" customWidth="1"/>
    <col min="13" max="13" width="12.88671875" bestFit="1" customWidth="1"/>
    <col min="14" max="14" width="11.6640625" bestFit="1" customWidth="1"/>
  </cols>
  <sheetData>
    <row r="1" spans="1:14" x14ac:dyDescent="0.3">
      <c r="A1" s="7" t="s">
        <v>0</v>
      </c>
    </row>
    <row r="2" spans="1:14" x14ac:dyDescent="0.3">
      <c r="A2" t="s">
        <v>47</v>
      </c>
      <c r="I2" t="s">
        <v>1</v>
      </c>
      <c r="J2" t="s">
        <v>48</v>
      </c>
    </row>
    <row r="3" spans="1:14" x14ac:dyDescent="0.3">
      <c r="A3" t="s">
        <v>2</v>
      </c>
      <c r="I3" t="s">
        <v>3</v>
      </c>
      <c r="J3" s="8" t="s">
        <v>56</v>
      </c>
    </row>
    <row r="5" spans="1:14" x14ac:dyDescent="0.3">
      <c r="F5" s="9"/>
      <c r="H5" s="9"/>
      <c r="I5" s="9"/>
      <c r="J5" s="9"/>
      <c r="K5" s="9"/>
    </row>
    <row r="6" spans="1:14" x14ac:dyDescent="0.3">
      <c r="B6" s="7" t="s">
        <v>4</v>
      </c>
      <c r="D6" s="9"/>
      <c r="G6" s="10"/>
      <c r="H6" s="10"/>
      <c r="I6" s="9"/>
    </row>
    <row r="7" spans="1:14" s="12" customFormat="1" ht="28.8" x14ac:dyDescent="0.3">
      <c r="A7" s="11" t="s">
        <v>5</v>
      </c>
      <c r="C7" s="12" t="s">
        <v>6</v>
      </c>
      <c r="D7" s="1" t="s">
        <v>7</v>
      </c>
      <c r="E7" s="1" t="s">
        <v>8</v>
      </c>
      <c r="F7" s="1" t="s">
        <v>9</v>
      </c>
      <c r="G7" s="1" t="s">
        <v>10</v>
      </c>
      <c r="H7" s="11" t="s">
        <v>11</v>
      </c>
      <c r="I7" s="11" t="s">
        <v>12</v>
      </c>
      <c r="J7" s="12" t="s">
        <v>13</v>
      </c>
      <c r="K7" s="12" t="s">
        <v>14</v>
      </c>
      <c r="L7" s="13" t="s">
        <v>15</v>
      </c>
      <c r="N7" s="14"/>
    </row>
    <row r="8" spans="1:14" x14ac:dyDescent="0.3">
      <c r="A8" s="15">
        <v>1</v>
      </c>
      <c r="B8" t="s">
        <v>49</v>
      </c>
      <c r="C8" s="2"/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/>
      <c r="K8" s="2">
        <f>SUM(D8:J8)</f>
        <v>0</v>
      </c>
      <c r="L8" s="2">
        <f t="shared" ref="L8:L18" si="0">C8-K8</f>
        <v>0</v>
      </c>
      <c r="M8" s="9"/>
      <c r="N8" s="9"/>
    </row>
    <row r="9" spans="1:14" x14ac:dyDescent="0.3">
      <c r="A9" s="15">
        <v>2</v>
      </c>
      <c r="B9" t="s">
        <v>16</v>
      </c>
      <c r="C9" s="2">
        <f>E9+F9+G9</f>
        <v>41110000</v>
      </c>
      <c r="D9" s="2"/>
      <c r="E9" s="2">
        <v>30000000</v>
      </c>
      <c r="F9" s="2">
        <v>10800000</v>
      </c>
      <c r="G9" s="2">
        <v>310000</v>
      </c>
      <c r="H9" s="2">
        <v>0</v>
      </c>
      <c r="I9" s="2"/>
      <c r="K9" s="2">
        <f t="shared" ref="K9:K18" si="1">SUM(D9:J9)</f>
        <v>41110000</v>
      </c>
      <c r="L9" s="2">
        <f t="shared" si="0"/>
        <v>0</v>
      </c>
      <c r="M9" s="9"/>
      <c r="N9" s="9"/>
    </row>
    <row r="10" spans="1:14" x14ac:dyDescent="0.3">
      <c r="A10" s="15"/>
      <c r="B10" t="s">
        <v>17</v>
      </c>
      <c r="C10" s="2"/>
      <c r="D10" s="2"/>
      <c r="E10" s="2">
        <f>13438141-26772040</f>
        <v>-13333899</v>
      </c>
      <c r="F10" s="2">
        <f>716648-770396+9361566.95-26027667.95</f>
        <v>-16719849</v>
      </c>
      <c r="G10" s="2">
        <f>27415238.82-37684622.04</f>
        <v>-10269383.219999999</v>
      </c>
      <c r="H10" s="2">
        <f>3762788.78-4044583.78</f>
        <v>-281795</v>
      </c>
      <c r="I10" s="2">
        <f>22896-318121.78</f>
        <v>-295225.78000000003</v>
      </c>
      <c r="J10" s="2">
        <f>17903-74848</f>
        <v>-56945</v>
      </c>
      <c r="K10" s="2">
        <f t="shared" si="1"/>
        <v>-40957097</v>
      </c>
      <c r="L10" s="2">
        <f t="shared" si="0"/>
        <v>40957097</v>
      </c>
      <c r="M10" s="9"/>
      <c r="N10" s="9"/>
    </row>
    <row r="11" spans="1:14" x14ac:dyDescent="0.3">
      <c r="A11" s="15">
        <v>3</v>
      </c>
      <c r="B11" t="s">
        <v>18</v>
      </c>
      <c r="C11" s="2"/>
      <c r="D11" s="2"/>
      <c r="E11" s="2">
        <v>1437380</v>
      </c>
      <c r="F11" s="2">
        <v>-1437380</v>
      </c>
      <c r="G11" s="2"/>
      <c r="H11" s="2"/>
      <c r="I11" s="2"/>
      <c r="J11" s="2"/>
      <c r="K11" s="2">
        <f t="shared" si="1"/>
        <v>0</v>
      </c>
      <c r="L11" s="2">
        <f t="shared" si="0"/>
        <v>0</v>
      </c>
      <c r="M11" s="9"/>
    </row>
    <row r="12" spans="1:14" x14ac:dyDescent="0.3">
      <c r="A12" s="15">
        <v>4</v>
      </c>
      <c r="B12" t="s">
        <v>19</v>
      </c>
      <c r="C12" s="2"/>
      <c r="D12" s="2"/>
      <c r="E12" s="2"/>
      <c r="F12" s="2"/>
      <c r="G12" s="2"/>
      <c r="H12" s="2"/>
      <c r="I12" s="2"/>
      <c r="J12" s="2"/>
      <c r="K12" s="2">
        <f t="shared" si="1"/>
        <v>0</v>
      </c>
      <c r="L12" s="2">
        <f t="shared" si="0"/>
        <v>0</v>
      </c>
      <c r="M12" s="9"/>
      <c r="N12" s="9"/>
    </row>
    <row r="13" spans="1:14" x14ac:dyDescent="0.3">
      <c r="A13" s="15">
        <v>5</v>
      </c>
      <c r="B13" t="s">
        <v>20</v>
      </c>
      <c r="C13" s="2"/>
      <c r="D13" s="2"/>
      <c r="E13" s="2"/>
      <c r="F13" s="2"/>
      <c r="G13" s="2"/>
      <c r="H13" s="2"/>
      <c r="I13" s="2"/>
      <c r="J13" s="2"/>
      <c r="K13" s="2">
        <f t="shared" si="1"/>
        <v>0</v>
      </c>
      <c r="L13" s="2">
        <f t="shared" si="0"/>
        <v>0</v>
      </c>
      <c r="M13" s="9"/>
    </row>
    <row r="14" spans="1:14" x14ac:dyDescent="0.3">
      <c r="A14" s="15"/>
      <c r="B14" t="s">
        <v>57</v>
      </c>
      <c r="C14" s="2">
        <v>900577660</v>
      </c>
      <c r="D14" s="2"/>
      <c r="E14" s="2">
        <v>125825729</v>
      </c>
      <c r="F14" s="2">
        <v>284698839</v>
      </c>
      <c r="G14" s="2">
        <v>311241485</v>
      </c>
      <c r="H14" s="2">
        <v>117811912</v>
      </c>
      <c r="I14" s="2">
        <v>51683302</v>
      </c>
      <c r="J14" s="2">
        <f>69315958-7000000</f>
        <v>62315958</v>
      </c>
      <c r="K14" s="2">
        <f t="shared" si="1"/>
        <v>953577225</v>
      </c>
      <c r="L14" s="2">
        <f t="shared" si="0"/>
        <v>-52999565</v>
      </c>
      <c r="M14" s="9"/>
    </row>
    <row r="15" spans="1:14" x14ac:dyDescent="0.3">
      <c r="A15" s="15"/>
      <c r="B15" t="s">
        <v>21</v>
      </c>
      <c r="C15" s="2">
        <v>0</v>
      </c>
      <c r="D15" s="2"/>
      <c r="E15" s="2"/>
      <c r="F15" s="2"/>
      <c r="G15" s="2"/>
      <c r="H15" s="2"/>
      <c r="I15" s="2"/>
      <c r="J15" s="2"/>
      <c r="K15" s="2">
        <f t="shared" si="1"/>
        <v>0</v>
      </c>
      <c r="L15" s="2">
        <f t="shared" si="0"/>
        <v>0</v>
      </c>
      <c r="M15" s="9"/>
    </row>
    <row r="16" spans="1:14" x14ac:dyDescent="0.3">
      <c r="A16" s="15"/>
      <c r="B16" t="s">
        <v>51</v>
      </c>
      <c r="C16" s="2">
        <f>6640*6733</f>
        <v>44707120</v>
      </c>
      <c r="D16" s="2"/>
      <c r="E16" s="2"/>
      <c r="F16" s="2"/>
      <c r="G16" s="2"/>
      <c r="H16" s="2"/>
      <c r="I16" s="2"/>
      <c r="J16" s="2"/>
      <c r="K16" s="2">
        <f t="shared" si="1"/>
        <v>0</v>
      </c>
      <c r="L16" s="2">
        <f t="shared" si="0"/>
        <v>44707120</v>
      </c>
      <c r="M16" s="9"/>
    </row>
    <row r="17" spans="1:14" x14ac:dyDescent="0.3">
      <c r="A17" s="15">
        <v>6</v>
      </c>
      <c r="B17" t="s">
        <v>22</v>
      </c>
      <c r="C17" s="2"/>
      <c r="D17" s="2"/>
      <c r="E17" s="2"/>
      <c r="F17" s="2"/>
      <c r="G17" s="2"/>
      <c r="H17" s="2"/>
      <c r="I17" s="2"/>
      <c r="J17" s="2"/>
      <c r="K17" s="2">
        <f t="shared" si="1"/>
        <v>0</v>
      </c>
      <c r="L17" s="2">
        <f t="shared" si="0"/>
        <v>0</v>
      </c>
      <c r="M17" s="9"/>
    </row>
    <row r="18" spans="1:14" x14ac:dyDescent="0.3">
      <c r="A18" s="15">
        <v>7</v>
      </c>
      <c r="B18" t="s">
        <v>23</v>
      </c>
      <c r="C18" s="2">
        <v>443186</v>
      </c>
      <c r="D18" s="2">
        <f>21318.36</f>
        <v>21318.36</v>
      </c>
      <c r="E18" s="2">
        <f>398370</f>
        <v>398370</v>
      </c>
      <c r="F18" s="2">
        <v>14098</v>
      </c>
      <c r="G18" s="2">
        <v>0</v>
      </c>
      <c r="H18" s="2">
        <v>0</v>
      </c>
      <c r="I18" s="2">
        <f>6349.64+2</f>
        <v>6351.64</v>
      </c>
      <c r="J18" s="2">
        <f>13+184945</f>
        <v>184958</v>
      </c>
      <c r="K18" s="2">
        <f t="shared" si="1"/>
        <v>625096</v>
      </c>
      <c r="L18" s="2">
        <f t="shared" si="0"/>
        <v>-181910</v>
      </c>
      <c r="M18" s="9"/>
    </row>
    <row r="19" spans="1:14" ht="15" thickBot="1" x14ac:dyDescent="0.35">
      <c r="B19" t="s">
        <v>14</v>
      </c>
      <c r="C19" s="3">
        <f>SUM(C8:C18)</f>
        <v>986837966</v>
      </c>
      <c r="D19" s="3">
        <f t="shared" ref="D19:L19" si="2">SUM(D8:D18)</f>
        <v>21318.36</v>
      </c>
      <c r="E19" s="3">
        <f t="shared" si="2"/>
        <v>144327580</v>
      </c>
      <c r="F19" s="3">
        <f t="shared" si="2"/>
        <v>277355708</v>
      </c>
      <c r="G19" s="3">
        <f t="shared" si="2"/>
        <v>301282101.77999997</v>
      </c>
      <c r="H19" s="3">
        <f t="shared" si="2"/>
        <v>117530117</v>
      </c>
      <c r="I19" s="3">
        <f t="shared" si="2"/>
        <v>51394427.859999999</v>
      </c>
      <c r="J19" s="3">
        <f t="shared" si="2"/>
        <v>62443971</v>
      </c>
      <c r="K19" s="3">
        <f t="shared" si="2"/>
        <v>954355224</v>
      </c>
      <c r="L19" s="3">
        <f t="shared" si="2"/>
        <v>32482742</v>
      </c>
      <c r="M19" s="9"/>
    </row>
    <row r="20" spans="1:14" ht="15" thickTop="1" x14ac:dyDescent="0.3">
      <c r="C20" s="4"/>
      <c r="D20" s="4"/>
      <c r="E20" s="4"/>
      <c r="F20" s="4"/>
      <c r="G20" s="4"/>
      <c r="H20" s="2"/>
    </row>
    <row r="21" spans="1:14" x14ac:dyDescent="0.3">
      <c r="B21" s="7" t="s">
        <v>24</v>
      </c>
      <c r="H21" s="2"/>
      <c r="N21" s="9"/>
    </row>
    <row r="22" spans="1:14" ht="43.2" x14ac:dyDescent="0.3">
      <c r="C22" s="12" t="s">
        <v>25</v>
      </c>
      <c r="D22" s="1" t="s">
        <v>26</v>
      </c>
      <c r="E22" s="1" t="s">
        <v>27</v>
      </c>
      <c r="F22" s="1" t="s">
        <v>28</v>
      </c>
      <c r="G22" s="1" t="s">
        <v>29</v>
      </c>
      <c r="H22" s="1" t="s">
        <v>30</v>
      </c>
      <c r="I22" s="11" t="s">
        <v>31</v>
      </c>
      <c r="J22" s="11" t="s">
        <v>32</v>
      </c>
      <c r="K22" s="12" t="s">
        <v>14</v>
      </c>
      <c r="L22" s="12" t="s">
        <v>33</v>
      </c>
      <c r="N22" s="9"/>
    </row>
    <row r="23" spans="1:14" x14ac:dyDescent="0.3">
      <c r="A23" s="15">
        <v>1</v>
      </c>
      <c r="B23" t="s">
        <v>34</v>
      </c>
      <c r="C23" s="2"/>
      <c r="D23" s="2">
        <v>0</v>
      </c>
      <c r="E23" s="4">
        <v>0</v>
      </c>
      <c r="F23" s="2"/>
      <c r="G23" s="2"/>
      <c r="H23" s="2"/>
      <c r="I23" s="2"/>
      <c r="J23" s="2"/>
      <c r="K23" s="2">
        <f>SUM(D23:J23)</f>
        <v>0</v>
      </c>
      <c r="L23" s="2">
        <f t="shared" ref="L23:L32" si="3">C23-K23</f>
        <v>0</v>
      </c>
    </row>
    <row r="24" spans="1:14" x14ac:dyDescent="0.3">
      <c r="A24" s="15">
        <v>2</v>
      </c>
      <c r="B24" t="s">
        <v>35</v>
      </c>
      <c r="C24" s="2">
        <v>28856686</v>
      </c>
      <c r="D24" s="2"/>
      <c r="E24" s="2">
        <f>'[1]Working - land, finance, admin'!$B$11+'[1]Working - land, finance, admin'!$C$11+'[1]Working - land, finance, admin'!$D$11</f>
        <v>28856686.300000001</v>
      </c>
      <c r="F24" s="2"/>
      <c r="G24" s="2"/>
      <c r="H24" s="2"/>
      <c r="I24" s="2"/>
      <c r="J24" s="2"/>
      <c r="K24" s="2">
        <f t="shared" ref="K24:K32" si="4">SUM(D24:J24)</f>
        <v>28856686.300000001</v>
      </c>
      <c r="L24" s="2">
        <f t="shared" si="3"/>
        <v>-0.30000000074505806</v>
      </c>
    </row>
    <row r="25" spans="1:14" ht="28.8" x14ac:dyDescent="0.3">
      <c r="A25" s="15">
        <v>3</v>
      </c>
      <c r="B25" s="12" t="s">
        <v>52</v>
      </c>
      <c r="C25" s="2">
        <f>313600*2110</f>
        <v>661696000</v>
      </c>
      <c r="D25" s="2">
        <f>4293090.1</f>
        <v>4293090.0999999996</v>
      </c>
      <c r="E25" s="2">
        <f>122618571.61-1685330+30464447.48-28856686</f>
        <v>122541003.09</v>
      </c>
      <c r="F25" s="2">
        <f>237957376.55-3207119</f>
        <v>234750257.55000001</v>
      </c>
      <c r="G25" s="2">
        <f>240714108-8401175</f>
        <v>232312933</v>
      </c>
      <c r="H25" s="2">
        <f>63096081.43-5605457.47</f>
        <v>57490623.960000001</v>
      </c>
      <c r="I25" s="2">
        <f>9388599.48-259854</f>
        <v>9128745.4800000004</v>
      </c>
      <c r="J25" s="2">
        <v>3482625</v>
      </c>
      <c r="K25" s="2">
        <f t="shared" si="4"/>
        <v>663999278.18000007</v>
      </c>
      <c r="L25" s="2">
        <f t="shared" si="3"/>
        <v>-2303278.1800000668</v>
      </c>
      <c r="M25" s="9"/>
    </row>
    <row r="26" spans="1:14" x14ac:dyDescent="0.3">
      <c r="A26" s="15">
        <v>4</v>
      </c>
      <c r="B26" t="s">
        <v>36</v>
      </c>
      <c r="C26" s="2"/>
      <c r="D26" s="2"/>
      <c r="E26" s="2">
        <v>46324</v>
      </c>
      <c r="F26" s="2"/>
      <c r="G26" s="2">
        <v>467380</v>
      </c>
      <c r="H26" s="2">
        <v>-513704</v>
      </c>
      <c r="I26" s="2"/>
      <c r="J26" s="2"/>
      <c r="K26" s="2">
        <f t="shared" si="4"/>
        <v>0</v>
      </c>
      <c r="L26" s="2">
        <f t="shared" si="3"/>
        <v>0</v>
      </c>
      <c r="M26" s="9"/>
    </row>
    <row r="27" spans="1:14" x14ac:dyDescent="0.3">
      <c r="A27" s="15">
        <v>5</v>
      </c>
      <c r="B27" t="s">
        <v>54</v>
      </c>
      <c r="C27" s="2"/>
      <c r="D27" s="2"/>
      <c r="E27" s="2">
        <v>3626661.8</v>
      </c>
      <c r="F27" s="2">
        <v>2830432</v>
      </c>
      <c r="G27" s="2">
        <v>1346303</v>
      </c>
      <c r="H27" s="2">
        <v>24648</v>
      </c>
      <c r="I27" s="2">
        <v>22896</v>
      </c>
      <c r="J27" s="2"/>
      <c r="K27" s="2">
        <f t="shared" si="4"/>
        <v>7850940.7999999998</v>
      </c>
      <c r="L27" s="2">
        <f t="shared" si="3"/>
        <v>-7850940.7999999998</v>
      </c>
      <c r="M27" s="9"/>
    </row>
    <row r="28" spans="1:14" x14ac:dyDescent="0.3">
      <c r="A28" s="15">
        <v>6</v>
      </c>
      <c r="B28" t="s">
        <v>53</v>
      </c>
      <c r="C28" s="2"/>
      <c r="D28" s="5">
        <v>1240882</v>
      </c>
      <c r="E28" s="2">
        <v>7273520.0760000004</v>
      </c>
      <c r="F28" s="2">
        <v>17866682</v>
      </c>
      <c r="G28" s="2">
        <f>11447621.26+910324</f>
        <v>12357945.26</v>
      </c>
      <c r="H28" s="2">
        <f>2628396.405+954853</f>
        <v>3583249.4049999998</v>
      </c>
      <c r="I28" s="2">
        <v>295285.31999999995</v>
      </c>
      <c r="J28" s="2">
        <v>67054</v>
      </c>
      <c r="K28" s="2">
        <f t="shared" si="4"/>
        <v>42684618.061000004</v>
      </c>
      <c r="L28" s="2">
        <f t="shared" si="3"/>
        <v>-42684618.061000004</v>
      </c>
    </row>
    <row r="29" spans="1:14" s="12" customFormat="1" ht="28.8" x14ac:dyDescent="0.3">
      <c r="A29" s="15">
        <v>7</v>
      </c>
      <c r="B29" s="12" t="s">
        <v>37</v>
      </c>
      <c r="C29" s="5">
        <v>197066861</v>
      </c>
      <c r="E29" s="5"/>
      <c r="F29" s="5"/>
      <c r="G29" s="5"/>
      <c r="H29" s="5"/>
      <c r="I29" s="5"/>
      <c r="J29" s="5">
        <v>-1561892</v>
      </c>
      <c r="K29" s="2">
        <f t="shared" si="4"/>
        <v>-1561892</v>
      </c>
      <c r="L29" s="2">
        <f t="shared" si="3"/>
        <v>198628753</v>
      </c>
      <c r="M29" s="14"/>
    </row>
    <row r="30" spans="1:14" x14ac:dyDescent="0.3">
      <c r="A30" s="15">
        <v>8</v>
      </c>
      <c r="B30" t="s">
        <v>55</v>
      </c>
      <c r="C30" s="2">
        <f>K30</f>
        <v>58108418.789999999</v>
      </c>
      <c r="D30" s="2">
        <v>764174.3</v>
      </c>
      <c r="E30" s="2">
        <v>11413623</v>
      </c>
      <c r="F30" s="2">
        <v>11873147.77</v>
      </c>
      <c r="G30" s="2">
        <v>16267391.25</v>
      </c>
      <c r="H30" s="2">
        <v>11462808</v>
      </c>
      <c r="I30" s="2">
        <f>4071965.99</f>
        <v>4071965.99</v>
      </c>
      <c r="J30" s="2">
        <v>2255308.48</v>
      </c>
      <c r="K30" s="2">
        <f t="shared" si="4"/>
        <v>58108418.789999999</v>
      </c>
      <c r="L30" s="2">
        <f t="shared" si="3"/>
        <v>0</v>
      </c>
    </row>
    <row r="31" spans="1:14" x14ac:dyDescent="0.3">
      <c r="A31" s="15">
        <v>9</v>
      </c>
      <c r="B31" t="s">
        <v>38</v>
      </c>
      <c r="C31" s="2"/>
      <c r="D31" s="2"/>
      <c r="E31" s="2"/>
      <c r="F31" s="2"/>
      <c r="G31" s="2"/>
      <c r="H31" s="2"/>
      <c r="I31" s="2"/>
      <c r="J31" s="2"/>
      <c r="K31" s="2">
        <f t="shared" si="4"/>
        <v>0</v>
      </c>
      <c r="L31" s="2">
        <f t="shared" si="3"/>
        <v>0</v>
      </c>
    </row>
    <row r="32" spans="1:14" x14ac:dyDescent="0.3">
      <c r="A32" s="15"/>
      <c r="B32" t="s">
        <v>39</v>
      </c>
      <c r="C32" s="2">
        <v>41110000</v>
      </c>
      <c r="D32" s="2">
        <v>-11686117</v>
      </c>
      <c r="E32" s="2">
        <f>-6120777-D32</f>
        <v>5565340</v>
      </c>
      <c r="F32" s="2">
        <f>12095508-D32-E32</f>
        <v>18216285</v>
      </c>
      <c r="G32" s="2">
        <f>26999694.82-D32-E32-F32</f>
        <v>14904186.82</v>
      </c>
      <c r="H32" s="2">
        <f>55369582.77-D32-E32-F32-G32</f>
        <v>28369887.950000003</v>
      </c>
      <c r="I32" s="2">
        <f>97035780.77-D32-E32-F32-G32-H32</f>
        <v>41666197.999999985</v>
      </c>
      <c r="J32" s="2">
        <f>153047071.77-D32-E32-F32-G32-H32-I32</f>
        <v>56011291.00000003</v>
      </c>
      <c r="K32" s="2">
        <f t="shared" si="4"/>
        <v>153047071.77000001</v>
      </c>
      <c r="L32" s="2">
        <f t="shared" si="3"/>
        <v>-111937071.77000001</v>
      </c>
      <c r="M32" s="9"/>
    </row>
    <row r="33" spans="1:13" ht="15" thickBot="1" x14ac:dyDescent="0.35">
      <c r="B33" t="s">
        <v>14</v>
      </c>
      <c r="C33" s="3">
        <f>SUM(C23:C32)</f>
        <v>986837965.78999996</v>
      </c>
      <c r="D33" s="3">
        <f>SUM(D23:D32)</f>
        <v>-5387970.6000000006</v>
      </c>
      <c r="E33" s="3">
        <f t="shared" ref="E33:J33" si="5">SUM(E23:E32)</f>
        <v>179323158.26600003</v>
      </c>
      <c r="F33" s="3">
        <f t="shared" si="5"/>
        <v>285536804.32000005</v>
      </c>
      <c r="G33" s="3">
        <f t="shared" si="5"/>
        <v>277656139.32999998</v>
      </c>
      <c r="H33" s="3">
        <f t="shared" si="5"/>
        <v>100417513.31500001</v>
      </c>
      <c r="I33" s="3">
        <f t="shared" si="5"/>
        <v>55185090.789999984</v>
      </c>
      <c r="J33" s="3">
        <f t="shared" si="5"/>
        <v>60254386.480000034</v>
      </c>
      <c r="K33" s="3">
        <f t="shared" ref="K33" si="6">SUM(K23:K32)</f>
        <v>952985121.9009999</v>
      </c>
      <c r="L33" s="3">
        <f>SUM(L23:L32)</f>
        <v>33852843.888999909</v>
      </c>
    </row>
    <row r="34" spans="1:13" ht="15" thickTop="1" x14ac:dyDescent="0.3"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3" x14ac:dyDescent="0.3">
      <c r="C35" s="2"/>
      <c r="D35" s="2"/>
      <c r="E35" s="2"/>
      <c r="F35" s="2"/>
      <c r="G35" s="2"/>
      <c r="H35" s="2"/>
      <c r="I35" s="2"/>
      <c r="J35" s="2"/>
      <c r="K35" s="2"/>
      <c r="L35" s="9"/>
      <c r="M35" s="9"/>
    </row>
    <row r="36" spans="1:13" x14ac:dyDescent="0.3">
      <c r="B36" s="7" t="s">
        <v>40</v>
      </c>
      <c r="C36" s="4"/>
      <c r="D36" s="4"/>
      <c r="E36" s="4"/>
      <c r="F36" s="4"/>
      <c r="G36" s="4"/>
      <c r="H36" s="4"/>
      <c r="I36" s="4"/>
      <c r="J36" s="4"/>
      <c r="K36" s="6" t="s">
        <v>14</v>
      </c>
      <c r="L36" s="9"/>
      <c r="M36" s="9"/>
    </row>
    <row r="37" spans="1:13" x14ac:dyDescent="0.3">
      <c r="A37" s="15">
        <v>1</v>
      </c>
      <c r="B37" t="s">
        <v>41</v>
      </c>
      <c r="C37" s="2"/>
      <c r="D37" s="2"/>
      <c r="E37" s="2"/>
      <c r="F37" s="2"/>
      <c r="G37" s="2"/>
      <c r="H37" s="2"/>
      <c r="I37" s="2"/>
      <c r="J37" s="2"/>
      <c r="K37" s="2">
        <f>SUM(D37:J37)</f>
        <v>0</v>
      </c>
      <c r="L37" s="9"/>
      <c r="M37" s="9"/>
    </row>
    <row r="38" spans="1:13" x14ac:dyDescent="0.3">
      <c r="A38" s="15">
        <v>2</v>
      </c>
      <c r="B38" t="s">
        <v>42</v>
      </c>
      <c r="C38" s="2"/>
      <c r="D38" s="2">
        <v>5000000</v>
      </c>
      <c r="E38" s="2">
        <f>11500000-D38</f>
        <v>6500000</v>
      </c>
      <c r="F38" s="2">
        <v>0</v>
      </c>
      <c r="G38" s="2">
        <f>1220000-D38-E38-F38</f>
        <v>-10280000</v>
      </c>
      <c r="H38" s="2">
        <f>1240000-D38-E38-F38-G38</f>
        <v>20000</v>
      </c>
      <c r="I38" s="2">
        <f>240000-D38-E38-F38-G38-H38</f>
        <v>-1000000</v>
      </c>
      <c r="J38" s="2">
        <f>190000-D38-E38-F38-G38-H38-I38</f>
        <v>-50000</v>
      </c>
      <c r="K38" s="2">
        <f t="shared" ref="K38:K41" si="7">SUM(D38:J38)</f>
        <v>190000</v>
      </c>
      <c r="L38" s="9"/>
    </row>
    <row r="39" spans="1:13" x14ac:dyDescent="0.3">
      <c r="A39" s="15">
        <v>3</v>
      </c>
      <c r="B39" t="s">
        <v>43</v>
      </c>
      <c r="C39" s="2"/>
      <c r="D39" s="2"/>
      <c r="E39" s="2"/>
      <c r="F39" s="2"/>
      <c r="G39" s="2"/>
      <c r="H39" s="2"/>
      <c r="I39" s="2"/>
      <c r="J39" s="2">
        <f>59000+365</f>
        <v>59365</v>
      </c>
      <c r="K39" s="2">
        <f t="shared" si="7"/>
        <v>59365</v>
      </c>
      <c r="L39" s="9"/>
    </row>
    <row r="40" spans="1:13" x14ac:dyDescent="0.3">
      <c r="A40" s="15">
        <v>4</v>
      </c>
      <c r="B40" t="s">
        <v>44</v>
      </c>
      <c r="C40" s="2"/>
      <c r="D40" s="2">
        <v>409289</v>
      </c>
      <c r="E40" s="2">
        <f>5729143.1-D40</f>
        <v>5319854.0999999996</v>
      </c>
      <c r="F40" s="2">
        <f>7982407.58-D40-E40</f>
        <v>2253264.4800000004</v>
      </c>
      <c r="G40" s="2">
        <f>3784119-D40-E40-F40</f>
        <v>-4198288.58</v>
      </c>
      <c r="H40" s="2">
        <f>895734.48-D40-E40-F40-G40</f>
        <v>-2888384.5199999996</v>
      </c>
      <c r="I40" s="2">
        <f>197144.12-D40-E40-F40-G40-H40</f>
        <v>-698590.36000000034</v>
      </c>
      <c r="J40" s="2">
        <f>1115713.44-D40-E40-F40-G40-H40-I40</f>
        <v>918569.31999999937</v>
      </c>
      <c r="K40" s="2">
        <f t="shared" si="7"/>
        <v>1115713.4399999995</v>
      </c>
      <c r="L40" s="9"/>
      <c r="M40" s="9"/>
    </row>
    <row r="41" spans="1:13" x14ac:dyDescent="0.3">
      <c r="A41" s="15">
        <v>5</v>
      </c>
      <c r="B41" t="s">
        <v>45</v>
      </c>
      <c r="C41" s="2"/>
      <c r="D41" s="2"/>
      <c r="E41" s="2">
        <v>-16142</v>
      </c>
      <c r="F41" s="2">
        <f>23023-D41-E41</f>
        <v>39165</v>
      </c>
      <c r="G41" s="2">
        <f>1329-E41-F41</f>
        <v>-21694</v>
      </c>
      <c r="H41" s="2">
        <f>1791-E41-F41-G41</f>
        <v>462</v>
      </c>
      <c r="I41" s="2">
        <f>19112-E41-F41-G41-H41</f>
        <v>17321</v>
      </c>
      <c r="J41" s="2">
        <f>5024-E41-F41-G41-H41-I41</f>
        <v>-14088</v>
      </c>
      <c r="K41" s="2">
        <f t="shared" si="7"/>
        <v>5024</v>
      </c>
    </row>
    <row r="42" spans="1:13" ht="15" thickBot="1" x14ac:dyDescent="0.35">
      <c r="B42" t="s">
        <v>14</v>
      </c>
      <c r="C42" s="3">
        <f t="shared" ref="C42:K42" si="8">SUM(C37:C41)</f>
        <v>0</v>
      </c>
      <c r="D42" s="3">
        <f t="shared" si="8"/>
        <v>5409289</v>
      </c>
      <c r="E42" s="3">
        <f t="shared" si="8"/>
        <v>11803712.1</v>
      </c>
      <c r="F42" s="3">
        <f t="shared" si="8"/>
        <v>2292429.4800000004</v>
      </c>
      <c r="G42" s="3">
        <f t="shared" si="8"/>
        <v>-14499982.58</v>
      </c>
      <c r="H42" s="3">
        <f t="shared" si="8"/>
        <v>-2867922.5199999996</v>
      </c>
      <c r="I42" s="3">
        <f t="shared" si="8"/>
        <v>-1681269.3600000003</v>
      </c>
      <c r="J42" s="3">
        <f t="shared" si="8"/>
        <v>913846.31999999937</v>
      </c>
      <c r="K42" s="3">
        <f t="shared" si="8"/>
        <v>1370102.4399999995</v>
      </c>
    </row>
    <row r="43" spans="1:13" ht="15" thickTop="1" x14ac:dyDescent="0.3">
      <c r="C43" s="2"/>
      <c r="D43" s="2"/>
      <c r="E43" s="4"/>
      <c r="F43" s="2"/>
      <c r="G43" s="2"/>
      <c r="H43" s="2"/>
      <c r="I43" s="2"/>
      <c r="J43" s="2"/>
      <c r="K43" s="2"/>
    </row>
    <row r="44" spans="1:13" ht="15" thickBot="1" x14ac:dyDescent="0.35">
      <c r="B44" t="s">
        <v>46</v>
      </c>
      <c r="C44" s="3">
        <f>C19-C33-C42</f>
        <v>0.21000003814697266</v>
      </c>
      <c r="D44" s="3"/>
      <c r="E44" s="3"/>
      <c r="F44" s="3"/>
      <c r="G44" s="3"/>
      <c r="H44" s="3"/>
      <c r="I44" s="3"/>
      <c r="J44" s="3"/>
      <c r="K44" s="3">
        <f>K19-K33-K42</f>
        <v>-0.3409999031573534</v>
      </c>
    </row>
    <row r="45" spans="1:13" ht="15" thickTop="1" x14ac:dyDescent="0.3">
      <c r="C45" s="2"/>
      <c r="D45" s="2"/>
      <c r="E45" s="2"/>
      <c r="F45" s="2"/>
      <c r="G45" s="2"/>
      <c r="H45" s="2"/>
      <c r="I45" s="2"/>
      <c r="J45" s="2"/>
      <c r="K45" s="2"/>
    </row>
    <row r="46" spans="1:13" x14ac:dyDescent="0.3">
      <c r="F46" s="2"/>
      <c r="G46" s="2"/>
      <c r="I46" s="9"/>
      <c r="J46" s="9"/>
      <c r="K46" s="9"/>
    </row>
    <row r="47" spans="1:13" x14ac:dyDescent="0.3">
      <c r="E47" s="2"/>
      <c r="F47" s="2"/>
      <c r="G47" s="2"/>
      <c r="H47" s="2"/>
      <c r="I47" s="2"/>
      <c r="J47" s="2"/>
      <c r="K47" s="9"/>
    </row>
    <row r="48" spans="1:13" x14ac:dyDescent="0.3">
      <c r="H48" s="2"/>
      <c r="I48" s="9"/>
      <c r="J48" s="9"/>
    </row>
    <row r="49" spans="4:11" x14ac:dyDescent="0.3">
      <c r="G49" s="9"/>
      <c r="H49" s="2"/>
      <c r="I49" s="9"/>
      <c r="J49" s="9"/>
      <c r="K49" s="9"/>
    </row>
    <row r="50" spans="4:11" x14ac:dyDescent="0.3">
      <c r="E50" s="2"/>
      <c r="G50" s="9"/>
      <c r="H50" s="9"/>
      <c r="I50" s="9"/>
      <c r="J50" s="9"/>
    </row>
    <row r="51" spans="4:11" x14ac:dyDescent="0.3">
      <c r="D51" s="9"/>
      <c r="F51" s="9"/>
      <c r="I51" s="9"/>
    </row>
    <row r="57" spans="4:11" x14ac:dyDescent="0.3">
      <c r="E57" s="2"/>
    </row>
    <row r="64" spans="4:11" x14ac:dyDescent="0.3">
      <c r="E64" s="2"/>
    </row>
    <row r="75" spans="4:5" x14ac:dyDescent="0.3">
      <c r="D75" t="s">
        <v>50</v>
      </c>
      <c r="E75" s="2"/>
    </row>
    <row r="76" spans="4:5" x14ac:dyDescent="0.3">
      <c r="D76">
        <v>0</v>
      </c>
      <c r="E76" s="2"/>
    </row>
    <row r="77" spans="4:5" x14ac:dyDescent="0.3">
      <c r="D77">
        <v>0</v>
      </c>
      <c r="E77" s="2"/>
    </row>
    <row r="78" spans="4:5" x14ac:dyDescent="0.3">
      <c r="D78">
        <v>0</v>
      </c>
      <c r="E78" s="2"/>
    </row>
    <row r="79" spans="4:5" x14ac:dyDescent="0.3">
      <c r="D79">
        <v>0</v>
      </c>
      <c r="E79" s="2">
        <f>D79*18%</f>
        <v>0</v>
      </c>
    </row>
    <row r="80" spans="4:5" x14ac:dyDescent="0.3">
      <c r="D80">
        <v>0</v>
      </c>
      <c r="E80" s="2">
        <f>D80*5%</f>
        <v>0</v>
      </c>
    </row>
    <row r="81" spans="4:5" x14ac:dyDescent="0.3">
      <c r="D81">
        <v>476190</v>
      </c>
      <c r="E81" s="2">
        <f>D81*18%</f>
        <v>85714.2</v>
      </c>
    </row>
    <row r="82" spans="4:5" x14ac:dyDescent="0.3">
      <c r="D82">
        <v>9523</v>
      </c>
      <c r="E82" s="2">
        <f>D82*5%</f>
        <v>476.15000000000003</v>
      </c>
    </row>
    <row r="83" spans="4:5" x14ac:dyDescent="0.3">
      <c r="D83">
        <v>225000</v>
      </c>
      <c r="E83" s="2">
        <f>D83*5%</f>
        <v>11250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MPL</vt:lpstr>
      <vt:lpstr>MPL!Print_Area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mppl .</dc:creator>
  <cp:lastModifiedBy>mppl .</cp:lastModifiedBy>
  <cp:lastPrinted>2025-04-22T09:55:37Z</cp:lastPrinted>
  <dcterms:created xsi:type="dcterms:W3CDTF">2024-11-27T11:44:59Z</dcterms:created>
  <dcterms:modified xsi:type="dcterms:W3CDTF">2025-04-28T08:16:35Z</dcterms:modified>
</cp:coreProperties>
</file>