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889" firstSheet="2" activeTab="11"/>
  </bookViews>
  <sheets>
    <sheet name="List of documents" sheetId="12" r:id="rId1"/>
    <sheet name="Project cost &amp; estimates" sheetId="11" r:id="rId2"/>
    <sheet name="Unit Details" sheetId="9" r:id="rId3"/>
    <sheet name="Project details" sheetId="8" r:id="rId4"/>
    <sheet name="RERA sold units details" sheetId="7" r:id="rId5"/>
    <sheet name="Loan details" sheetId="3" r:id="rId6"/>
    <sheet name="Financial Summary" sheetId="2" r:id="rId7"/>
    <sheet name="Working - land, finance, admin" sheetId="14" state="hidden" r:id="rId8"/>
    <sheet name="Project Estimate" sheetId="17" r:id="rId9"/>
    <sheet name="Oth Admin Expsns" sheetId="15" r:id="rId10"/>
    <sheet name="WIP" sheetId="18" r:id="rId11"/>
    <sheet name="JDA Advances " sheetId="19" r:id="rId12"/>
  </sheets>
  <definedNames>
    <definedName name="_xlnm._FilterDatabase" localSheetId="2" hidden="1">'Unit Details'!$A$5:$I$82</definedName>
    <definedName name="_xlnm._FilterDatabase" localSheetId="10" hidden="1">WIP!#REF!</definedName>
    <definedName name="_xlnm.Print_Titles" localSheetId="11">'JDA Advances '!$1:$1</definedName>
    <definedName name="_xlnm.Print_Titles" localSheetId="9">'Oth Admin Expsns'!$1:$1</definedName>
    <definedName name="_xlnm.Print_Titles" localSheetId="4">'RERA sold units details'!$5:$5</definedName>
    <definedName name="_xlnm.Print_Titles" localSheetId="2">'Unit Details'!$5:$5</definedName>
  </definedNames>
  <calcPr calcId="144525"/>
</workbook>
</file>

<file path=xl/sharedStrings.xml><?xml version="1.0" encoding="utf-8"?>
<sst xmlns="http://schemas.openxmlformats.org/spreadsheetml/2006/main" count="940" uniqueCount="533">
  <si>
    <t>Name of firm/company:</t>
  </si>
  <si>
    <t>Mehta &amp; Modi Reality Kowkur LLP</t>
  </si>
  <si>
    <t>Prepared by:</t>
  </si>
  <si>
    <t>S.Nagamalleswar Rao</t>
  </si>
  <si>
    <t>Name of project:</t>
  </si>
  <si>
    <t>Greenwood Heights</t>
  </si>
  <si>
    <t>Date:</t>
  </si>
  <si>
    <t>Details od documents.</t>
  </si>
  <si>
    <t>Details for period:</t>
  </si>
  <si>
    <t>Apr-Jun-2021</t>
  </si>
  <si>
    <t>Sl. No.</t>
  </si>
  <si>
    <t>Description</t>
  </si>
  <si>
    <t>Details / Remarks.</t>
  </si>
  <si>
    <t>Document available</t>
  </si>
  <si>
    <t>Scan ID Q1.</t>
  </si>
  <si>
    <t>Scan ID</t>
  </si>
  <si>
    <t>Trial Balance - upto last end of last qtr.</t>
  </si>
  <si>
    <t>YES</t>
  </si>
  <si>
    <t>P &amp; L Account  - upto last qtr.</t>
  </si>
  <si>
    <t>Bank statements - last 12 months</t>
  </si>
  <si>
    <t>IT return FY 18-19</t>
  </si>
  <si>
    <t>NA</t>
  </si>
  <si>
    <t>IT return FY 17-18</t>
  </si>
  <si>
    <t>IT return FY 16-17</t>
  </si>
  <si>
    <t>Building permit</t>
  </si>
  <si>
    <t>No</t>
  </si>
  <si>
    <t>Basic title document i.e. JDA or sale deed.</t>
  </si>
  <si>
    <t>Title / Link documents - full set</t>
  </si>
  <si>
    <t>Draft AOS / Booking form/ AOC/ Sale Deed</t>
  </si>
  <si>
    <t>Firm/Company - registration certificate</t>
  </si>
  <si>
    <t>Firm/Company - partners/shareholding details - CA/CS certified</t>
  </si>
  <si>
    <t>Firm/Company - Deeds / MOA/ AOA</t>
  </si>
  <si>
    <t>RERA certificate</t>
  </si>
  <si>
    <t>CA progress report for current &amp; last qtr.</t>
  </si>
  <si>
    <t>Engg. progress report for current &amp; last qtr.</t>
  </si>
  <si>
    <t>Other report for current &amp; last qtr.</t>
  </si>
  <si>
    <t>GST / VAT / Service tax registration</t>
  </si>
  <si>
    <t>PAN card + TAN Letter</t>
  </si>
  <si>
    <t>Proof of address</t>
  </si>
  <si>
    <t>Directors DIN</t>
  </si>
  <si>
    <t>Bank a/c. details</t>
  </si>
  <si>
    <t>Director / Partner 1 -KYC - PAN, AADHAR, 6 m bank statement</t>
  </si>
  <si>
    <t>Director / Partner 2 -KYC - PAN, AADHAR, 6 m bank statement</t>
  </si>
  <si>
    <t>Director / Partner 3 -KYC - PAN, AADHAR, 6 m bank statement</t>
  </si>
  <si>
    <t>Director / Partner 4 -KYC - PAN, AADHAR, 6 m bank statement</t>
  </si>
  <si>
    <t>Company profile</t>
  </si>
  <si>
    <t>Project write-up</t>
  </si>
  <si>
    <t>Project Brochure</t>
  </si>
  <si>
    <t>Latest PPT</t>
  </si>
  <si>
    <t>Latest EC</t>
  </si>
  <si>
    <t>upto 31-12-19</t>
  </si>
  <si>
    <t>Director / Partner -Net worth certificate</t>
  </si>
  <si>
    <t>Director / Partner -Bio-data</t>
  </si>
  <si>
    <t>Secured loan - loan offer letter, latest loan repayment statement</t>
  </si>
  <si>
    <t>(Amounts in Rs.)</t>
  </si>
  <si>
    <t>Projected cost/revenue</t>
  </si>
  <si>
    <t>Actual cost/ revenue for the Year 2019-20</t>
  </si>
  <si>
    <t>Actual cost/revenue for current  qtr    Apr-Dec 20</t>
  </si>
  <si>
    <t>Actual total Exp/revenue till date</t>
  </si>
  <si>
    <t xml:space="preserve">Balance Cost </t>
  </si>
  <si>
    <t>A</t>
  </si>
  <si>
    <t>Land cost + reg. charges  + brokerage</t>
  </si>
  <si>
    <t>B</t>
  </si>
  <si>
    <t>Permit fees &amp; charges</t>
  </si>
  <si>
    <t>C</t>
  </si>
  <si>
    <t>Construction/ development expenses</t>
  </si>
  <si>
    <t>D</t>
  </si>
  <si>
    <t xml:space="preserve">Admin &amp; sales expenses </t>
  </si>
  <si>
    <t>E</t>
  </si>
  <si>
    <t>Finance Expenses</t>
  </si>
  <si>
    <t>F</t>
  </si>
  <si>
    <t>Total project cost (sum of A TO E)</t>
  </si>
  <si>
    <t>G</t>
  </si>
  <si>
    <t>Revenue from sales</t>
  </si>
  <si>
    <t>H</t>
  </si>
  <si>
    <t>Investment from promoters</t>
  </si>
  <si>
    <t>I</t>
  </si>
  <si>
    <t>Secured and unsecured loans</t>
  </si>
  <si>
    <t>J</t>
  </si>
  <si>
    <t>Gross profit (G-A-B-C)</t>
  </si>
  <si>
    <t>K</t>
  </si>
  <si>
    <t>Net Profit (G-F)</t>
  </si>
  <si>
    <t>L</t>
  </si>
  <si>
    <t>Gross profit in  percentage (J/G*100)</t>
  </si>
  <si>
    <t>M</t>
  </si>
  <si>
    <t>Net profit in  percentage (K/G*100)</t>
  </si>
  <si>
    <t>Revenue from sales - details (Developers share)</t>
  </si>
  <si>
    <t>No. of units</t>
  </si>
  <si>
    <t>Total area in sft</t>
  </si>
  <si>
    <t>Rate in Rs./ sft.</t>
  </si>
  <si>
    <t>Total revenue is Rs.</t>
  </si>
  <si>
    <t>Remarks</t>
  </si>
  <si>
    <t>Sold units</t>
  </si>
  <si>
    <t>Unsold Units</t>
  </si>
  <si>
    <t>Total</t>
  </si>
  <si>
    <t>Total exp. is Rs.</t>
  </si>
  <si>
    <t>Construction cost</t>
  </si>
  <si>
    <t>Land development exp.</t>
  </si>
  <si>
    <t>Amenities cost</t>
  </si>
  <si>
    <t>Notes:</t>
  </si>
  <si>
    <t>Construction/ Development cost = WIP - permit cost</t>
  </si>
  <si>
    <t>Admin &amp; sales expenses = Indirect exp - finance exp.</t>
  </si>
  <si>
    <t>S Nagamalleswara rao</t>
  </si>
  <si>
    <t>Units Details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</si>
  <si>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</si>
  <si>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</si>
  <si>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</si>
  <si>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</si>
  <si>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</si>
  <si>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</si>
  <si>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</si>
  <si>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</si>
  <si>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Blocked</t>
  </si>
  <si>
    <t>Developer</t>
  </si>
  <si>
    <t>Mortagage</t>
  </si>
  <si>
    <t>Mr.Kiran Shetty</t>
  </si>
  <si>
    <t>Mr.MVR Murthy &amp; Mrs.Shipra Gupta</t>
  </si>
  <si>
    <t>Mr.Kowshik chakraborthy</t>
  </si>
  <si>
    <t>Mr.Venkata ramana murthy</t>
  </si>
  <si>
    <t>Mr. Thachat Ragash &amp; Mrs. Sikha Ragash</t>
  </si>
  <si>
    <t>Mr.Piyush Kumar</t>
  </si>
  <si>
    <t>M/S.Modi Housing Pvt ltd</t>
  </si>
  <si>
    <t>Mr.Dennis Antony &amp; Mrs.Jennifer Dennis</t>
  </si>
  <si>
    <t>Mrs.Madhukara Veni / Mr.K Srinivasan</t>
  </si>
  <si>
    <t>Mrs.Divya Uday</t>
  </si>
  <si>
    <t>Mr.Gangadhar Kiran Kumar</t>
  </si>
  <si>
    <t>Mr.Vikash Sahu &amp; Mrs.Meena Sahu</t>
  </si>
  <si>
    <t>Mr.Ratan N Mulani / Mrs.Suman R Mulani</t>
  </si>
  <si>
    <t>Mrs.T Saraswathi</t>
  </si>
  <si>
    <t>Mrs.Nidhi Sinha &amp; Mr.SP.Vijaya Kumar</t>
  </si>
  <si>
    <t>Mr.Prasenjit Das &amp; Mrs.Himani Das</t>
  </si>
  <si>
    <t>Mrs.Suman R Mulani / Mr.Ratan N Mulani.</t>
  </si>
  <si>
    <t>Mrs.Deepa Suraj Premi &amp; Mr.Suraj Premi</t>
  </si>
  <si>
    <t>Mrs.Tabitha Prem Kaza.</t>
  </si>
  <si>
    <t>Mrs.Bhavana Lulla Mehta</t>
  </si>
  <si>
    <t>Mrs. Rashmi Singh &amp; Mr. Ashish Singh</t>
  </si>
  <si>
    <t>Mrs.Kamalesh</t>
  </si>
  <si>
    <t>Ms.Chandra P Mulani / Mr.Jayesh Pradeep Mulani</t>
  </si>
  <si>
    <t>Mrs.Vibha Anand Mehta</t>
  </si>
  <si>
    <t>Mrs.Vibha Anand Mehta.</t>
  </si>
  <si>
    <t>Quantity</t>
  </si>
  <si>
    <t xml:space="preserve">Units </t>
  </si>
  <si>
    <t>Total land area</t>
  </si>
  <si>
    <t>Sq Mts</t>
  </si>
  <si>
    <t>Acres</t>
  </si>
  <si>
    <t>Net land area of project</t>
  </si>
  <si>
    <t>Sq. Yds</t>
  </si>
  <si>
    <t>Type of development</t>
  </si>
  <si>
    <t>Flats</t>
  </si>
  <si>
    <t>Total no. of units</t>
  </si>
  <si>
    <t>Nos.</t>
  </si>
  <si>
    <t>Type of agreement</t>
  </si>
  <si>
    <t>JDA</t>
  </si>
  <si>
    <t>Building permit no.</t>
  </si>
  <si>
    <t>Building permit issued by:</t>
  </si>
  <si>
    <t>GHMC</t>
  </si>
  <si>
    <t>RERA no.</t>
  </si>
  <si>
    <t>P02200001314</t>
  </si>
  <si>
    <t>Units falling to share of owners</t>
  </si>
  <si>
    <t>Units falling to share of developer</t>
  </si>
  <si>
    <t>Total proposed construction</t>
  </si>
  <si>
    <t>Sq Mtrs</t>
  </si>
  <si>
    <t>sft</t>
  </si>
  <si>
    <t>Total sellable area</t>
  </si>
  <si>
    <t>In case of apartments total parking area</t>
  </si>
  <si>
    <t>In case of villas total area of plots</t>
  </si>
  <si>
    <t>sq. yds</t>
  </si>
  <si>
    <t>Project - Current status</t>
  </si>
  <si>
    <t>Qty / Remarks</t>
  </si>
  <si>
    <t>Number of units completed</t>
  </si>
  <si>
    <t>Number of units under construction</t>
  </si>
  <si>
    <t>Number of units not started</t>
  </si>
  <si>
    <t>Number of units sold</t>
  </si>
  <si>
    <t>Number of units unsold (include mortgaged)</t>
  </si>
  <si>
    <t>Electric power supply provided</t>
  </si>
  <si>
    <t xml:space="preserve">Yes </t>
  </si>
  <si>
    <t>Water supply provided</t>
  </si>
  <si>
    <t>OC received</t>
  </si>
  <si>
    <t>OC date</t>
  </si>
  <si>
    <t>Project fully completed in all respects</t>
  </si>
  <si>
    <t>Details required as per RERA rules.</t>
  </si>
  <si>
    <t xml:space="preserve">Statement for period upto 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</si>
  <si>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</si>
  <si>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</si>
  <si>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</si>
  <si>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</si>
  <si>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</si>
  <si>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</si>
  <si>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</si>
  <si>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</si>
  <si>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</si>
  <si>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Receipts for earlier qtrs in this FY 19-20</t>
  </si>
  <si>
    <t>Receipts for current qtr.20-21</t>
  </si>
  <si>
    <t>Receipts for current qtr.21-22</t>
  </si>
  <si>
    <t>Total Receipts</t>
  </si>
  <si>
    <t>Balance receivable</t>
  </si>
  <si>
    <t>A-405</t>
  </si>
  <si>
    <t>B-106</t>
  </si>
  <si>
    <t>B-112</t>
  </si>
  <si>
    <t>B-307</t>
  </si>
  <si>
    <t>B-308</t>
  </si>
  <si>
    <t>B-313</t>
  </si>
  <si>
    <t>B-406</t>
  </si>
  <si>
    <t>B-408</t>
  </si>
  <si>
    <t>B-409</t>
  </si>
  <si>
    <t>B-411</t>
  </si>
  <si>
    <t>B-412</t>
  </si>
  <si>
    <t>B-506</t>
  </si>
  <si>
    <t>B-509</t>
  </si>
  <si>
    <t>B-512</t>
  </si>
  <si>
    <t>B-513</t>
  </si>
  <si>
    <t>B-607</t>
  </si>
  <si>
    <t>B-608</t>
  </si>
  <si>
    <t>B-610</t>
  </si>
  <si>
    <t>B-712</t>
  </si>
  <si>
    <t>B-708</t>
  </si>
  <si>
    <t>B-709</t>
  </si>
  <si>
    <t>B-711</t>
  </si>
  <si>
    <t>B-210</t>
  </si>
  <si>
    <t>M/s.Modi Housing Pvt Ltd</t>
  </si>
  <si>
    <t>A-314</t>
  </si>
  <si>
    <t>A-414</t>
  </si>
  <si>
    <t>A-515</t>
  </si>
  <si>
    <t>Cancell flat</t>
  </si>
  <si>
    <t>Secured loans</t>
  </si>
  <si>
    <t>Loan type</t>
  </si>
  <si>
    <t>Name of lender</t>
  </si>
  <si>
    <t>Total loan amount in Rs.</t>
  </si>
  <si>
    <t>Principal repaid upto F.Y.19-20 in Rs.</t>
  </si>
  <si>
    <t>Principal repaid in this qtr.Apr-20 to Dec-20   in Rs.</t>
  </si>
  <si>
    <t>Balance loan upto end of this qtr. in Rs.</t>
  </si>
  <si>
    <t>Loan start date</t>
  </si>
  <si>
    <t>Loan end date</t>
  </si>
  <si>
    <t>EMI or principal repayment per month in Rs.</t>
  </si>
  <si>
    <t>Secured</t>
  </si>
  <si>
    <t>Bajaj Housing Finance Ltd</t>
  </si>
  <si>
    <t>Subtotal - Secured loans</t>
  </si>
  <si>
    <t>Un-secured</t>
  </si>
  <si>
    <t>Paramount Builders</t>
  </si>
  <si>
    <t xml:space="preserve">Soham Modi </t>
  </si>
  <si>
    <t>Modi Housing Pvt Ltd</t>
  </si>
  <si>
    <t>Subtotal - Un-secured loans</t>
  </si>
  <si>
    <t>For earlier qtrs. in this FY-19-20</t>
  </si>
  <si>
    <t>For current  FY-20-21</t>
  </si>
  <si>
    <t>For current  qtr. -  Apr21- Jun- 21</t>
  </si>
  <si>
    <t>Source of funds</t>
  </si>
  <si>
    <t>Net receipts from sales</t>
  </si>
  <si>
    <t>Loans received - unsecured</t>
  </si>
  <si>
    <t>Loans received - secured</t>
  </si>
  <si>
    <t>Subtotal  - funds</t>
  </si>
  <si>
    <t>Expenditure</t>
  </si>
  <si>
    <t>Towards land acquisition</t>
  </si>
  <si>
    <t>Towards security deposit for JDA</t>
  </si>
  <si>
    <t>Fees, charges, deposits for permits</t>
  </si>
  <si>
    <t>Finance charges (interest + fees)</t>
  </si>
  <si>
    <t>Administrative expenses</t>
  </si>
  <si>
    <t>Work in progress</t>
  </si>
  <si>
    <t>Other expenses (if nay)</t>
  </si>
  <si>
    <t>Advances paid to suppliers/contractors</t>
  </si>
  <si>
    <t>Subtotal - exp.</t>
  </si>
  <si>
    <t>By equity/partners capital</t>
  </si>
  <si>
    <t>By way of loans from promoters</t>
  </si>
  <si>
    <t>Subtotal - investment</t>
  </si>
  <si>
    <t>RERA - funds received Vs exp - comparison</t>
  </si>
  <si>
    <t>Project expenditure</t>
  </si>
  <si>
    <t>70% of net receipts (for RERA a/c)</t>
  </si>
  <si>
    <t>Loans received</t>
  </si>
  <si>
    <t>RERA a/c bank balance +FDs</t>
  </si>
  <si>
    <t>Difference (A-B-C-D) - must be positive</t>
  </si>
  <si>
    <t>Note:</t>
  </si>
  <si>
    <t>Net receipts or revenue = Receipts after deduction of receipts towards GST, Reg. charges, etc.</t>
  </si>
  <si>
    <t>Towards land acquisition = Land cost + reg. charges  + brokerage</t>
  </si>
  <si>
    <t>Work in progress = WIP - permit cost.</t>
  </si>
  <si>
    <t>Particulars</t>
  </si>
  <si>
    <t>Amount</t>
  </si>
  <si>
    <t>TOTAL</t>
  </si>
  <si>
    <t/>
  </si>
  <si>
    <t>2017-18</t>
  </si>
  <si>
    <t>2018-19</t>
  </si>
  <si>
    <t>01-04-19 to       30-09-19</t>
  </si>
  <si>
    <t>Sanction Cost</t>
  </si>
  <si>
    <t>Fees&amp; Permitts</t>
  </si>
  <si>
    <t>HMWS&amp; SB</t>
  </si>
  <si>
    <t>Airport Noc</t>
  </si>
  <si>
    <t>Fire Noc</t>
  </si>
  <si>
    <t>Rera Registration Charges</t>
  </si>
  <si>
    <t>Electricity connection charges</t>
  </si>
  <si>
    <t>JDA &amp; Other Advances</t>
  </si>
  <si>
    <t>JDA Registration Charges</t>
  </si>
  <si>
    <t>Summit Sales LLP Deposit</t>
  </si>
  <si>
    <t>Bhavesh Mehta</t>
  </si>
  <si>
    <t>Mehul Mehta</t>
  </si>
  <si>
    <t>Finance charges</t>
  </si>
  <si>
    <t>Interest on Secured Loan</t>
  </si>
  <si>
    <t>Interest on TDS</t>
  </si>
  <si>
    <t>Interest on GST</t>
  </si>
  <si>
    <t>Loan Procesing Fee</t>
  </si>
  <si>
    <t>Administarative expenses</t>
  </si>
  <si>
    <t>Admin Expenses</t>
  </si>
  <si>
    <t>Advertisements</t>
  </si>
  <si>
    <t>Bank Charges</t>
  </si>
  <si>
    <t>Business Pramotions</t>
  </si>
  <si>
    <t>Car Hire Charges Exempt</t>
  </si>
  <si>
    <t>Commission / Brokerage Urd</t>
  </si>
  <si>
    <t>CR Consultation Charges @ 18%</t>
  </si>
  <si>
    <t>Misc Expenses</t>
  </si>
  <si>
    <t>News Papers &amp; Periodicals</t>
  </si>
  <si>
    <t>ESI Employer Contribution</t>
  </si>
  <si>
    <t>Goods Transporation Charges</t>
  </si>
  <si>
    <t>Hoarding Rent</t>
  </si>
  <si>
    <t>Insurance</t>
  </si>
  <si>
    <t>Medical claim Expenses</t>
  </si>
  <si>
    <t>Legal Expenses</t>
  </si>
  <si>
    <t>Fees &amp; Charges</t>
  </si>
  <si>
    <t>Office Expenses</t>
  </si>
  <si>
    <t>Petrol/diesel Expenses</t>
  </si>
  <si>
    <t>PF Employer Contribution</t>
  </si>
  <si>
    <t>CGST Input</t>
  </si>
  <si>
    <t>SGST Input</t>
  </si>
  <si>
    <t>Printing &amp; Stationery</t>
  </si>
  <si>
    <t>Postage &amp; Courier</t>
  </si>
  <si>
    <t>Promotional Expenses</t>
  </si>
  <si>
    <t>QC Charges</t>
  </si>
  <si>
    <t>Salaries</t>
  </si>
  <si>
    <t xml:space="preserve">Service Charges </t>
  </si>
  <si>
    <t>Staff Mobile allowance</t>
  </si>
  <si>
    <t>Telephone/internet Expense</t>
  </si>
  <si>
    <t>Vehicle Maintenance</t>
  </si>
  <si>
    <t>Repair &amp; Maintenance computers</t>
  </si>
  <si>
    <t>GREEN WOOD HEIGHTS PROJECT PROJECTION</t>
  </si>
  <si>
    <t>Sft</t>
  </si>
  <si>
    <t>Rate</t>
  </si>
  <si>
    <t>Developer Share of Sale</t>
  </si>
  <si>
    <t>Owner Share of Sale</t>
  </si>
  <si>
    <t>Proposed Parking Area</t>
  </si>
  <si>
    <t>Club House Area</t>
  </si>
  <si>
    <t>Sale Revenue</t>
  </si>
  <si>
    <t>Land Cost</t>
  </si>
  <si>
    <t>Construction Cost</t>
  </si>
  <si>
    <t>Construction Cost Owner</t>
  </si>
  <si>
    <t>Club House Construction Cost</t>
  </si>
  <si>
    <t>Parking Area Construction Cost</t>
  </si>
  <si>
    <t>Other Indirect Expenses</t>
  </si>
  <si>
    <t>Project Direct Expenses</t>
  </si>
  <si>
    <t>Total Project Estimated Expenditure</t>
  </si>
  <si>
    <t>Profit</t>
  </si>
  <si>
    <t>Profit %</t>
  </si>
  <si>
    <t>2019-20</t>
  </si>
  <si>
    <t>Apr-Mar-21</t>
  </si>
  <si>
    <t>Apr-Jun-21</t>
  </si>
  <si>
    <t>Interest on Un-Secured Loan</t>
  </si>
  <si>
    <t>Loan processing fee</t>
  </si>
  <si>
    <t>BG Charges</t>
  </si>
  <si>
    <t>Total Finance charges</t>
  </si>
  <si>
    <t>Promotions Expenes:</t>
  </si>
  <si>
    <t>Advertiesment</t>
  </si>
  <si>
    <t>Advertisement @ 5%</t>
  </si>
  <si>
    <t>Advertising Services@18%</t>
  </si>
  <si>
    <t>Business Pramotion @ 5 %</t>
  </si>
  <si>
    <t>Business Pramotional @ 12%</t>
  </si>
  <si>
    <t>Business Pramotional Composite</t>
  </si>
  <si>
    <t>Business Promotion @ 18%</t>
  </si>
  <si>
    <t>Business Promotion Urd</t>
  </si>
  <si>
    <t>Car Hirecharges</t>
  </si>
  <si>
    <t>Car Hire Charges @ 18%</t>
  </si>
  <si>
    <t>Hoarding Rental Services</t>
  </si>
  <si>
    <t>Hording Rental Service Composite</t>
  </si>
  <si>
    <t>Salaries &amp; Employee benefits</t>
  </si>
  <si>
    <t>Commission Urd</t>
  </si>
  <si>
    <t>Conveyance Exp</t>
  </si>
  <si>
    <t>Employees State Insurance</t>
  </si>
  <si>
    <t>Mobile Allowance</t>
  </si>
  <si>
    <t>Providend Fund</t>
  </si>
  <si>
    <t>Staff Conveyance</t>
  </si>
  <si>
    <t>Incentives</t>
  </si>
  <si>
    <t>Staff Welfare</t>
  </si>
  <si>
    <t>Services charges:</t>
  </si>
  <si>
    <t>Admin and Marketing Service Charges @ 18%</t>
  </si>
  <si>
    <t>Admin Service Charges@18%</t>
  </si>
  <si>
    <t>Admin Services Charges</t>
  </si>
  <si>
    <t>Cr Consultation Charges</t>
  </si>
  <si>
    <t>Service Charges Po @ 18 %</t>
  </si>
  <si>
    <t>Penalties:</t>
  </si>
  <si>
    <t>Income Tax Exp</t>
  </si>
  <si>
    <t>Late Filling Fees - GST</t>
  </si>
  <si>
    <t>Other Indirect expenses:</t>
  </si>
  <si>
    <t>Printing and Stationery</t>
  </si>
  <si>
    <t>Repairs &amp; Maintenance Computers</t>
  </si>
  <si>
    <t>Act Fiber Net</t>
  </si>
  <si>
    <t>Audit Fees</t>
  </si>
  <si>
    <t>Consultancy Charges</t>
  </si>
  <si>
    <t>Courier and Postage @ 18%</t>
  </si>
  <si>
    <t>Courier &amp; Postage Exp Urd</t>
  </si>
  <si>
    <t>Internet/ Telephone Charges</t>
  </si>
  <si>
    <t>Miscellancous Expenses @5%</t>
  </si>
  <si>
    <t>Miscelleneous Expenses</t>
  </si>
  <si>
    <t>Processing Charges</t>
  </si>
  <si>
    <t>Registration Misc Charges</t>
  </si>
  <si>
    <t>Rera Account Charges</t>
  </si>
  <si>
    <t>Rera Application Fee @ 18%</t>
  </si>
  <si>
    <t>Rera Filling Fee</t>
  </si>
  <si>
    <t>Rounding Off</t>
  </si>
  <si>
    <t>Sundry Balance Writurn Off</t>
  </si>
  <si>
    <t>Tours &amp; Travels</t>
  </si>
  <si>
    <t>Total Admin Exp</t>
  </si>
  <si>
    <t>2020-21</t>
  </si>
  <si>
    <t>Apr-21 to Jun-21</t>
  </si>
  <si>
    <t>CONSTRUCTIONEXPENSES</t>
  </si>
  <si>
    <t xml:space="preserve">Building Materials: </t>
  </si>
  <si>
    <t>Building Material</t>
  </si>
  <si>
    <t>Carpentry</t>
  </si>
  <si>
    <t>Cement</t>
  </si>
  <si>
    <t>Chemicals</t>
  </si>
  <si>
    <t>Cement Bricks</t>
  </si>
  <si>
    <t>Consumables</t>
  </si>
  <si>
    <t>Electrical Material</t>
  </si>
  <si>
    <t>GRANITE</t>
  </si>
  <si>
    <t>Mud</t>
  </si>
  <si>
    <t>Painting Material</t>
  </si>
  <si>
    <t>Plumbing Material</t>
  </si>
  <si>
    <t>Robo Sand</t>
  </si>
  <si>
    <t>Steel</t>
  </si>
  <si>
    <t>Steel Tubes</t>
  </si>
  <si>
    <t>Stone Dust</t>
  </si>
  <si>
    <t>Tiles</t>
  </si>
  <si>
    <t>Tools</t>
  </si>
  <si>
    <t>Borewell</t>
  </si>
  <si>
    <t>Doors/Windows</t>
  </si>
  <si>
    <t>Equipment</t>
  </si>
  <si>
    <t>Equipment @ 18%</t>
  </si>
  <si>
    <t>Fabrication Material</t>
  </si>
  <si>
    <t>Gardening Material Composite</t>
  </si>
  <si>
    <t>Hardware Marerial @18%</t>
  </si>
  <si>
    <t>Hardware Material</t>
  </si>
  <si>
    <t>Metal</t>
  </si>
  <si>
    <t>Metal @5%</t>
  </si>
  <si>
    <t>Paints</t>
  </si>
  <si>
    <t>Redbricks</t>
  </si>
  <si>
    <t>RMC @ 18%</t>
  </si>
  <si>
    <t>Split AC</t>
  </si>
  <si>
    <t>Stone</t>
  </si>
  <si>
    <t>Stone 5%</t>
  </si>
  <si>
    <t>Sundry Purchases Urd</t>
  </si>
  <si>
    <t>Allowance for Const Equipment</t>
  </si>
  <si>
    <t>Anirudh Dhal-Allow for Equipment</t>
  </si>
  <si>
    <t>B Raminaidu Allow for Const Equip</t>
  </si>
  <si>
    <t>KoteshwarRao.B Allow for Equip</t>
  </si>
  <si>
    <t>K Padma Allow for Equip</t>
  </si>
  <si>
    <t>MD Khudoos Allow for Equip</t>
  </si>
  <si>
    <t>M.Shivakumar-Allow for Equipment</t>
  </si>
  <si>
    <t>MVR Constructions-Allow for Equipment</t>
  </si>
  <si>
    <t>Pajjuri Jayaram Allow for Const Equip</t>
  </si>
  <si>
    <t>P.Jayaram Allow for Equip</t>
  </si>
  <si>
    <t>P.Praveen Kumar-Allowance for Equipment</t>
  </si>
  <si>
    <t>Shaik Moiz Allow for Equip</t>
  </si>
  <si>
    <t>T.Kurmanna Allow for Equip</t>
  </si>
  <si>
    <t>T Srinivas Allow for Const Equip</t>
  </si>
  <si>
    <t>Y Radha Krishna-Allowance for Equip</t>
  </si>
  <si>
    <t>Y Ramesh Allow for Const Equip</t>
  </si>
  <si>
    <t>Hirecharges for Equipment-Urd</t>
  </si>
  <si>
    <t>Aaron Associates-Hirecharges for Equip</t>
  </si>
  <si>
    <t>B.Ramesh Hire Charges</t>
  </si>
  <si>
    <t>B.Rami naidu</t>
  </si>
  <si>
    <t>Chandrakala M Hirecharges</t>
  </si>
  <si>
    <t>Ch Salman-Hirecharges for Equip-Urd</t>
  </si>
  <si>
    <t>Ch Salmon-Allow for Equip(Hire Charges)</t>
  </si>
  <si>
    <t>Crane Hire Charges</t>
  </si>
  <si>
    <t>Kurmanna-Hirecharges for Equipment-Urd</t>
  </si>
  <si>
    <t>Laxmi Narayana Narboina-Allow for Equp Hire Charg</t>
  </si>
  <si>
    <t>Mannem-Hirecharges for Equip</t>
  </si>
  <si>
    <t>M Chandrakala -Allow for Equp Hire Charges</t>
  </si>
  <si>
    <t>P.Chanti</t>
  </si>
  <si>
    <t>T.Kurmanna-Allowance for Equip( Hire Chagres)</t>
  </si>
  <si>
    <t>Labour Allowances</t>
  </si>
  <si>
    <t>Allowance for Equipment</t>
  </si>
  <si>
    <t>Allowance for Consumables URD</t>
  </si>
  <si>
    <t>Allowance for Equipment URD</t>
  </si>
  <si>
    <t>False Ceilling Exp Composite</t>
  </si>
  <si>
    <t>Labour Charges URD</t>
  </si>
  <si>
    <t>Labour Welfare</t>
  </si>
  <si>
    <t>Labour Service Charges</t>
  </si>
  <si>
    <t>Homeline Infra</t>
  </si>
  <si>
    <t>A.Ramulu</t>
  </si>
  <si>
    <t>B Jogaiah</t>
  </si>
  <si>
    <t>B Pramod kumar</t>
  </si>
  <si>
    <t>K Kumar</t>
  </si>
  <si>
    <t xml:space="preserve">M Chandrakala </t>
  </si>
  <si>
    <t>N Sharada</t>
  </si>
  <si>
    <t>P Maisaiah</t>
  </si>
  <si>
    <t>P Praveen kumar</t>
  </si>
  <si>
    <t>Y Radhakrishna</t>
  </si>
  <si>
    <t>Other Expenses</t>
  </si>
  <si>
    <t>Allowance for Statutory Compliance</t>
  </si>
  <si>
    <t>Borewell Permission Fee</t>
  </si>
  <si>
    <t>Consultancy Fee</t>
  </si>
  <si>
    <t>Diesel Exp(for )Generator</t>
  </si>
  <si>
    <t>Electricity Charges</t>
  </si>
  <si>
    <t>Electricity Service No:TS2300005</t>
  </si>
  <si>
    <t>Eletricity Bill Payment</t>
  </si>
  <si>
    <t>Freight / Loading Charges @18%</t>
  </si>
  <si>
    <t>Gardening Charges</t>
  </si>
  <si>
    <t>Goods Transportation Charges @ 18%</t>
  </si>
  <si>
    <t>Housekeeping Charges</t>
  </si>
  <si>
    <t>Loading &amp; Un-Loading Charges @ 5%</t>
  </si>
  <si>
    <t>Miscellaneous Expenses @ 18 %</t>
  </si>
  <si>
    <t>Print media</t>
  </si>
  <si>
    <t>Registration &amp; Misc Charges@18%</t>
  </si>
  <si>
    <t>Repairs &amp; Maintenance</t>
  </si>
  <si>
    <t>Security Charges</t>
  </si>
  <si>
    <t>Site Misc Expenses</t>
  </si>
  <si>
    <t>Soil Testing Charges</t>
  </si>
  <si>
    <t>Transportation Charges</t>
  </si>
  <si>
    <t>Transportation Charges @ 18 %</t>
  </si>
  <si>
    <t>Ineligible ITC</t>
  </si>
  <si>
    <t>Transportation Charges Composite</t>
  </si>
  <si>
    <t>Total WIP</t>
  </si>
  <si>
    <t>Airport Authoririties Noc Fee</t>
  </si>
  <si>
    <t>Pre DCR Charges</t>
  </si>
  <si>
    <t>Building Permission Fee</t>
  </si>
  <si>
    <t>Fees paid to GHMC</t>
  </si>
  <si>
    <t>Nala Fee</t>
  </si>
  <si>
    <t>Water Connection Charges HWMS&amp;SB</t>
  </si>
  <si>
    <t>Total Sanction cost</t>
  </si>
  <si>
    <t>Registration Charges</t>
  </si>
  <si>
    <t>Registration Fee</t>
  </si>
  <si>
    <t>Total JDA registration charges</t>
  </si>
  <si>
    <t>Mukta Agarwal</t>
  </si>
  <si>
    <t>Nilesh Agarwal</t>
  </si>
  <si>
    <t>Nilesh Agarwal Huf</t>
  </si>
  <si>
    <t>Prem Kumar Sanghi Deposit</t>
  </si>
  <si>
    <t>Prem Kumar Sanghi Huf</t>
  </si>
  <si>
    <t>Sushma Sanghi</t>
  </si>
  <si>
    <t>Total JDA Deposits</t>
  </si>
</sst>
</file>

<file path=xl/styles.xml><?xml version="1.0" encoding="utf-8"?>
<styleSheet xmlns="http://schemas.openxmlformats.org/spreadsheetml/2006/main">
  <numFmts count="10">
    <numFmt numFmtId="176" formatCode="_(* #,##0_);_(* \(#,##0\);_(* &quot;-&quot;??_);_(@_)"/>
    <numFmt numFmtId="177" formatCode="_ * #,##0.0_ ;_ * \-#,##0.0_ ;_ * &quot;-&quot;??_ ;_ @_ "/>
    <numFmt numFmtId="178" formatCode="_(&quot;$&quot;* #,##0.00_);_(&quot;$&quot;* \(#,##0.00\);_(&quot;$&quot;* &quot;-&quot;??_);_(@_)"/>
    <numFmt numFmtId="179" formatCode="_ * #,##0.00_ ;_ * \-#,##0.00_ ;_ * &quot;-&quot;??_ ;_ @_ "/>
    <numFmt numFmtId="180" formatCode="_ * #,##0_ ;_ * \-#,##0_ ;_ * &quot;-&quot;_ ;_ @_ "/>
    <numFmt numFmtId="181" formatCode="_ &quot;₹&quot;* #,##0_ ;_ &quot;₹&quot;* \-#,##0_ ;_ &quot;₹&quot;* &quot;-&quot;_ ;_ @_ "/>
    <numFmt numFmtId="182" formatCode="_ * #,##0_ ;_ * \-#,##0_ ;_ * &quot;-&quot;??_ ;_ @_ "/>
    <numFmt numFmtId="183" formatCode="dd/mm/yyyy"/>
    <numFmt numFmtId="184" formatCode="&quot;&quot;0.00"/>
    <numFmt numFmtId="185" formatCode="[$-409]d/mmm/yy;@"/>
  </numFmts>
  <fonts count="3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0"/>
      <color theme="1"/>
      <name val="Times New Roman"/>
      <charset val="134"/>
    </font>
    <font>
      <u/>
      <sz val="10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Segoe UI"/>
      <charset val="134"/>
    </font>
    <font>
      <sz val="9"/>
      <color theme="1"/>
      <name val="Arial"/>
      <charset val="134"/>
    </font>
    <font>
      <sz val="10"/>
      <color indexed="8"/>
      <name val="Times New Roman"/>
      <charset val="134"/>
    </font>
    <font>
      <sz val="11"/>
      <color theme="1"/>
      <name val="Calibri"/>
      <charset val="134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/>
  </cellStyleXfs>
  <cellXfs count="193">
    <xf numFmtId="0" fontId="0" fillId="0" borderId="0" xfId="0"/>
    <xf numFmtId="0" fontId="1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/>
    <xf numFmtId="49" fontId="3" fillId="0" borderId="0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4" fillId="0" borderId="0" xfId="0" applyFont="1" applyFill="1" applyBorder="1"/>
    <xf numFmtId="176" fontId="2" fillId="0" borderId="0" xfId="2" applyNumberFormat="1" applyFont="1" applyFill="1" applyBorder="1"/>
    <xf numFmtId="49" fontId="2" fillId="0" borderId="0" xfId="0" applyNumberFormat="1" applyFont="1" applyFill="1" applyAlignment="1">
      <alignment vertical="top"/>
    </xf>
    <xf numFmtId="176" fontId="2" fillId="0" borderId="0" xfId="2" applyNumberFormat="1" applyFont="1" applyFill="1" applyAlignment="1">
      <alignment horizontal="right" vertical="top"/>
    </xf>
    <xf numFmtId="176" fontId="2" fillId="0" borderId="1" xfId="2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right" vertical="top"/>
    </xf>
    <xf numFmtId="176" fontId="2" fillId="0" borderId="2" xfId="0" applyNumberFormat="1" applyFont="1" applyFill="1" applyBorder="1" applyAlignment="1">
      <alignment horizontal="right" vertical="top"/>
    </xf>
    <xf numFmtId="176" fontId="2" fillId="0" borderId="0" xfId="0" applyNumberFormat="1" applyFont="1" applyFill="1" applyAlignment="1">
      <alignment horizontal="right" vertical="top"/>
    </xf>
    <xf numFmtId="0" fontId="2" fillId="0" borderId="0" xfId="0" applyFont="1" applyBorder="1"/>
    <xf numFmtId="182" fontId="2" fillId="0" borderId="0" xfId="2" applyNumberFormat="1" applyFont="1" applyFill="1" applyBorder="1"/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top"/>
    </xf>
    <xf numFmtId="182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182" fontId="2" fillId="0" borderId="0" xfId="2" applyNumberFormat="1" applyFont="1"/>
    <xf numFmtId="0" fontId="5" fillId="0" borderId="0" xfId="0" applyFont="1" applyAlignment="1">
      <alignment wrapText="1"/>
    </xf>
    <xf numFmtId="177" fontId="2" fillId="0" borderId="0" xfId="2" applyNumberFormat="1" applyFont="1" applyFill="1" applyBorder="1"/>
    <xf numFmtId="49" fontId="2" fillId="0" borderId="0" xfId="0" applyNumberFormat="1" applyFont="1" applyAlignment="1">
      <alignment horizontal="left" vertical="top" indent="2"/>
    </xf>
    <xf numFmtId="182" fontId="2" fillId="0" borderId="0" xfId="2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182" fontId="5" fillId="0" borderId="0" xfId="2" applyNumberFormat="1" applyFont="1" applyBorder="1" applyAlignment="1">
      <alignment horizontal="right" vertical="top"/>
    </xf>
    <xf numFmtId="182" fontId="2" fillId="0" borderId="1" xfId="2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horizontal="right"/>
    </xf>
    <xf numFmtId="182" fontId="4" fillId="0" borderId="3" xfId="2" applyNumberFormat="1" applyFont="1" applyFill="1" applyBorder="1"/>
    <xf numFmtId="182" fontId="2" fillId="0" borderId="0" xfId="2" applyNumberFormat="1" applyFont="1" applyAlignment="1">
      <alignment horizontal="right" vertical="top"/>
    </xf>
    <xf numFmtId="0" fontId="1" fillId="0" borderId="0" xfId="0" applyFont="1" applyFill="1" applyAlignment="1">
      <alignment horizontal="center"/>
    </xf>
    <xf numFmtId="182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9" fontId="2" fillId="0" borderId="0" xfId="2" applyFont="1" applyFill="1" applyBorder="1"/>
    <xf numFmtId="0" fontId="3" fillId="0" borderId="0" xfId="0" applyFont="1" applyFill="1" applyBorder="1"/>
    <xf numFmtId="176" fontId="2" fillId="0" borderId="1" xfId="2" applyNumberFormat="1" applyFont="1" applyFill="1" applyBorder="1"/>
    <xf numFmtId="49" fontId="5" fillId="0" borderId="2" xfId="0" applyNumberFormat="1" applyFont="1" applyFill="1" applyBorder="1" applyAlignment="1">
      <alignment horizontal="right" vertical="top"/>
    </xf>
    <xf numFmtId="176" fontId="5" fillId="0" borderId="2" xfId="0" applyNumberFormat="1" applyFont="1" applyFill="1" applyBorder="1" applyAlignment="1">
      <alignment horizontal="right" vertical="top"/>
    </xf>
    <xf numFmtId="182" fontId="5" fillId="0" borderId="2" xfId="2" applyNumberFormat="1" applyFont="1" applyFill="1" applyBorder="1" applyAlignment="1">
      <alignment horizontal="right" vertical="top"/>
    </xf>
    <xf numFmtId="176" fontId="3" fillId="0" borderId="0" xfId="2" applyNumberFormat="1" applyFont="1" applyFill="1" applyBorder="1" applyAlignment="1">
      <alignment horizontal="left" vertical="top" indent="2"/>
    </xf>
    <xf numFmtId="176" fontId="2" fillId="0" borderId="0" xfId="2" applyNumberFormat="1" applyFont="1" applyFill="1" applyBorder="1" applyAlignment="1">
      <alignment horizontal="right" vertical="top"/>
    </xf>
    <xf numFmtId="176" fontId="2" fillId="0" borderId="0" xfId="2" applyNumberFormat="1" applyFont="1" applyBorder="1"/>
    <xf numFmtId="176" fontId="2" fillId="0" borderId="0" xfId="2" applyNumberFormat="1" applyFont="1" applyBorder="1" applyAlignment="1">
      <alignment horizontal="right" vertical="top"/>
    </xf>
    <xf numFmtId="176" fontId="2" fillId="0" borderId="0" xfId="0" applyNumberFormat="1" applyFont="1" applyFill="1" applyBorder="1" applyAlignment="1">
      <alignment horizontal="right" vertical="top"/>
    </xf>
    <xf numFmtId="182" fontId="2" fillId="0" borderId="0" xfId="0" applyNumberFormat="1" applyFont="1" applyFill="1" applyBorder="1"/>
    <xf numFmtId="179" fontId="2" fillId="0" borderId="0" xfId="0" applyNumberFormat="1" applyFont="1" applyFill="1" applyBorder="1"/>
    <xf numFmtId="0" fontId="6" fillId="0" borderId="0" xfId="0" applyFont="1" applyFill="1" applyBorder="1"/>
    <xf numFmtId="0" fontId="0" fillId="0" borderId="0" xfId="0" applyAlignment="1">
      <alignment horizontal="center" vertical="center"/>
    </xf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0" xfId="0" applyBorder="1"/>
    <xf numFmtId="176" fontId="0" fillId="0" borderId="0" xfId="2" applyNumberFormat="1" applyFont="1" applyBorder="1" applyAlignment="1">
      <alignment horizontal="center" vertical="center"/>
    </xf>
    <xf numFmtId="176" fontId="0" fillId="0" borderId="0" xfId="2" applyNumberFormat="1" applyFont="1" applyBorder="1"/>
    <xf numFmtId="176" fontId="0" fillId="0" borderId="8" xfId="0" applyNumberFormat="1" applyBorder="1"/>
    <xf numFmtId="0" fontId="0" fillId="0" borderId="0" xfId="0" applyBorder="1" applyAlignment="1">
      <alignment horizontal="center"/>
    </xf>
    <xf numFmtId="0" fontId="0" fillId="0" borderId="8" xfId="0" applyBorder="1"/>
    <xf numFmtId="2" fontId="2" fillId="0" borderId="0" xfId="0" applyNumberFormat="1" applyFont="1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82" fontId="0" fillId="0" borderId="0" xfId="2" applyNumberFormat="1" applyFont="1" applyBorder="1"/>
    <xf numFmtId="176" fontId="0" fillId="0" borderId="3" xfId="2" applyNumberFormat="1" applyFont="1" applyBorder="1"/>
    <xf numFmtId="0" fontId="0" fillId="0" borderId="0" xfId="0" applyBorder="1" applyAlignment="1">
      <alignment horizontal="center" vertical="center"/>
    </xf>
    <xf numFmtId="0" fontId="0" fillId="0" borderId="7" xfId="0" applyBorder="1"/>
    <xf numFmtId="176" fontId="0" fillId="0" borderId="3" xfId="0" applyNumberFormat="1" applyBorder="1"/>
    <xf numFmtId="176" fontId="0" fillId="0" borderId="0" xfId="0" applyNumberFormat="1" applyBorder="1"/>
    <xf numFmtId="0" fontId="0" fillId="0" borderId="9" xfId="0" applyBorder="1"/>
    <xf numFmtId="0" fontId="7" fillId="0" borderId="1" xfId="0" applyFont="1" applyBorder="1"/>
    <xf numFmtId="176" fontId="7" fillId="0" borderId="1" xfId="0" applyNumberFormat="1" applyFont="1" applyBorder="1"/>
    <xf numFmtId="176" fontId="7" fillId="0" borderId="10" xfId="0" applyNumberFormat="1" applyFont="1" applyBorder="1"/>
    <xf numFmtId="0" fontId="8" fillId="0" borderId="0" xfId="0" applyFont="1" applyBorder="1"/>
    <xf numFmtId="182" fontId="8" fillId="0" borderId="0" xfId="2" applyNumberFormat="1" applyFont="1" applyBorder="1"/>
    <xf numFmtId="49" fontId="3" fillId="0" borderId="0" xfId="0" applyNumberFormat="1" applyFont="1" applyBorder="1" applyAlignment="1">
      <alignment horizontal="center" vertical="top"/>
    </xf>
    <xf numFmtId="182" fontId="3" fillId="0" borderId="0" xfId="2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top" indent="2"/>
    </xf>
    <xf numFmtId="182" fontId="3" fillId="0" borderId="0" xfId="2" applyNumberFormat="1" applyFont="1" applyBorder="1" applyAlignment="1">
      <alignment horizontal="center" vertical="top" wrapText="1"/>
    </xf>
    <xf numFmtId="183" fontId="3" fillId="0" borderId="0" xfId="2" applyNumberFormat="1" applyFont="1" applyBorder="1" applyAlignment="1">
      <alignment horizontal="center" vertical="top"/>
    </xf>
    <xf numFmtId="0" fontId="6" fillId="0" borderId="0" xfId="0" applyFont="1" applyBorder="1"/>
    <xf numFmtId="49" fontId="2" fillId="0" borderId="0" xfId="0" applyNumberFormat="1" applyFont="1" applyBorder="1" applyAlignment="1">
      <alignment horizontal="left" vertical="top" indent="2"/>
    </xf>
    <xf numFmtId="182" fontId="2" fillId="0" borderId="0" xfId="2" applyNumberFormat="1" applyFont="1" applyBorder="1" applyAlignment="1">
      <alignment horizontal="center" vertical="top"/>
    </xf>
    <xf numFmtId="182" fontId="2" fillId="0" borderId="0" xfId="2" applyNumberFormat="1" applyFont="1" applyBorder="1"/>
    <xf numFmtId="0" fontId="3" fillId="0" borderId="0" xfId="0" applyFont="1" applyBorder="1"/>
    <xf numFmtId="182" fontId="4" fillId="0" borderId="0" xfId="2" applyNumberFormat="1" applyFont="1" applyBorder="1" applyAlignment="1">
      <alignment horizontal="left" vertical="top" indent="2"/>
    </xf>
    <xf numFmtId="182" fontId="8" fillId="0" borderId="0" xfId="0" applyNumberFormat="1" applyFont="1" applyBorder="1"/>
    <xf numFmtId="182" fontId="4" fillId="0" borderId="0" xfId="2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vertical="top"/>
    </xf>
    <xf numFmtId="182" fontId="2" fillId="0" borderId="0" xfId="2" applyNumberFormat="1" applyFont="1" applyFill="1" applyBorder="1" applyAlignment="1">
      <alignment horizontal="right" vertical="top"/>
    </xf>
    <xf numFmtId="49" fontId="2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vertical="top"/>
    </xf>
    <xf numFmtId="184" fontId="9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179" fontId="2" fillId="0" borderId="0" xfId="2" applyFont="1"/>
    <xf numFmtId="185" fontId="2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center"/>
    </xf>
    <xf numFmtId="182" fontId="2" fillId="0" borderId="11" xfId="2" applyNumberFormat="1" applyFont="1" applyBorder="1" applyAlignment="1">
      <alignment horizontal="center" vertical="center" wrapText="1"/>
    </xf>
    <xf numFmtId="179" fontId="2" fillId="0" borderId="11" xfId="2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82" fontId="2" fillId="0" borderId="0" xfId="2" applyNumberFormat="1" applyFont="1" applyBorder="1" applyAlignment="1">
      <alignment wrapText="1"/>
    </xf>
    <xf numFmtId="179" fontId="2" fillId="0" borderId="0" xfId="2" applyFont="1" applyBorder="1" applyAlignment="1">
      <alignment horizontal="left"/>
    </xf>
    <xf numFmtId="182" fontId="2" fillId="0" borderId="0" xfId="2" applyNumberFormat="1" applyFont="1" applyBorder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82" fontId="2" fillId="0" borderId="11" xfId="2" applyNumberFormat="1" applyFont="1" applyBorder="1"/>
    <xf numFmtId="179" fontId="2" fillId="0" borderId="0" xfId="0" applyNumberFormat="1" applyFont="1"/>
    <xf numFmtId="182" fontId="3" fillId="0" borderId="0" xfId="2" applyNumberFormat="1" applyFont="1"/>
    <xf numFmtId="176" fontId="3" fillId="0" borderId="0" xfId="2" applyNumberFormat="1" applyFont="1"/>
    <xf numFmtId="179" fontId="3" fillId="0" borderId="0" xfId="2" applyNumberFormat="1" applyFont="1"/>
    <xf numFmtId="182" fontId="2" fillId="0" borderId="0" xfId="0" applyNumberFormat="1" applyFont="1"/>
    <xf numFmtId="182" fontId="3" fillId="0" borderId="11" xfId="2" applyNumberFormat="1" applyFont="1" applyBorder="1"/>
    <xf numFmtId="0" fontId="2" fillId="0" borderId="0" xfId="0" applyFont="1" applyAlignment="1">
      <alignment horizontal="left" wrapText="1"/>
    </xf>
    <xf numFmtId="185" fontId="2" fillId="0" borderId="0" xfId="0" applyNumberFormat="1" applyFont="1" applyBorder="1"/>
    <xf numFmtId="0" fontId="2" fillId="0" borderId="11" xfId="0" applyFont="1" applyBorder="1" applyAlignment="1">
      <alignment horizontal="left" wrapText="1"/>
    </xf>
    <xf numFmtId="182" fontId="2" fillId="0" borderId="11" xfId="2" applyNumberFormat="1" applyFont="1" applyBorder="1" applyAlignment="1">
      <alignment horizontal="left" wrapText="1"/>
    </xf>
    <xf numFmtId="182" fontId="2" fillId="0" borderId="11" xfId="2" applyNumberFormat="1" applyFont="1" applyBorder="1" applyAlignment="1">
      <alignment horizontal="center" wrapText="1"/>
    </xf>
    <xf numFmtId="183" fontId="2" fillId="0" borderId="0" xfId="0" applyNumberFormat="1" applyFont="1"/>
    <xf numFmtId="185" fontId="10" fillId="0" borderId="0" xfId="0" applyNumberFormat="1" applyFont="1" applyBorder="1"/>
    <xf numFmtId="185" fontId="2" fillId="0" borderId="1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82" fontId="2" fillId="0" borderId="1" xfId="2" applyNumberFormat="1" applyFont="1" applyBorder="1"/>
    <xf numFmtId="185" fontId="2" fillId="0" borderId="1" xfId="0" applyNumberFormat="1" applyFont="1" applyBorder="1"/>
    <xf numFmtId="179" fontId="2" fillId="0" borderId="0" xfId="2" applyFont="1" applyBorder="1"/>
    <xf numFmtId="182" fontId="2" fillId="0" borderId="0" xfId="2" applyNumberFormat="1" applyFont="1" applyAlignment="1">
      <alignment horizontal="left" wrapText="1"/>
    </xf>
    <xf numFmtId="0" fontId="2" fillId="0" borderId="0" xfId="0" applyFont="1" applyFill="1" applyBorder="1" applyAlignment="1">
      <alignment wrapText="1"/>
    </xf>
    <xf numFmtId="185" fontId="2" fillId="0" borderId="0" xfId="2" applyNumberFormat="1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wrapText="1"/>
    </xf>
    <xf numFmtId="185" fontId="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183" fontId="2" fillId="0" borderId="0" xfId="0" applyNumberFormat="1" applyFont="1" applyFill="1" applyBorder="1" applyAlignment="1">
      <alignment vertical="center"/>
    </xf>
    <xf numFmtId="182" fontId="2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182" fontId="2" fillId="0" borderId="0" xfId="2" applyNumberFormat="1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11" fillId="0" borderId="0" xfId="50" applyFont="1" applyFill="1" applyBorder="1" applyAlignment="1">
      <alignment horizontal="left"/>
    </xf>
    <xf numFmtId="0" fontId="11" fillId="0" borderId="0" xfId="50" applyFont="1" applyFill="1" applyBorder="1" applyAlignment="1">
      <alignment horizontal="right"/>
    </xf>
    <xf numFmtId="0" fontId="11" fillId="0" borderId="0" xfId="50" applyFont="1" applyFill="1" applyBorder="1"/>
    <xf numFmtId="183" fontId="3" fillId="0" borderId="0" xfId="0" applyNumberFormat="1" applyFont="1" applyFill="1" applyBorder="1" applyAlignment="1">
      <alignment horizontal="center"/>
    </xf>
    <xf numFmtId="182" fontId="3" fillId="0" borderId="0" xfId="2" applyNumberFormat="1" applyFont="1" applyFill="1" applyBorder="1" applyAlignment="1"/>
    <xf numFmtId="0" fontId="1" fillId="0" borderId="0" xfId="0" applyFont="1" applyFill="1" applyAlignment="1"/>
    <xf numFmtId="182" fontId="2" fillId="0" borderId="0" xfId="2" applyNumberFormat="1" applyFont="1" applyAlignment="1"/>
    <xf numFmtId="0" fontId="2" fillId="0" borderId="11" xfId="0" applyFont="1" applyFill="1" applyBorder="1"/>
    <xf numFmtId="179" fontId="2" fillId="0" borderId="11" xfId="2" applyFont="1" applyFill="1" applyBorder="1"/>
    <xf numFmtId="0" fontId="2" fillId="0" borderId="11" xfId="0" applyNumberFormat="1" applyFont="1" applyFill="1" applyBorder="1"/>
    <xf numFmtId="182" fontId="2" fillId="0" borderId="11" xfId="2" applyNumberFormat="1" applyFont="1" applyFill="1" applyBorder="1"/>
    <xf numFmtId="185" fontId="2" fillId="0" borderId="11" xfId="2" applyNumberFormat="1" applyFont="1" applyFill="1" applyBorder="1"/>
    <xf numFmtId="182" fontId="2" fillId="0" borderId="11" xfId="0" applyNumberFormat="1" applyFont="1" applyFill="1" applyBorder="1"/>
    <xf numFmtId="179" fontId="2" fillId="0" borderId="11" xfId="2" applyFont="1" applyBorder="1" applyAlignment="1">
      <alignment horizontal="right"/>
    </xf>
    <xf numFmtId="179" fontId="2" fillId="0" borderId="11" xfId="2" applyFont="1" applyBorder="1"/>
    <xf numFmtId="0" fontId="2" fillId="0" borderId="0" xfId="0" applyFont="1" applyAlignment="1">
      <alignment horizontal="right"/>
    </xf>
    <xf numFmtId="2" fontId="2" fillId="0" borderId="0" xfId="2" applyNumberFormat="1" applyFont="1" applyAlignment="1">
      <alignment horizontal="right"/>
    </xf>
    <xf numFmtId="2" fontId="2" fillId="0" borderId="0" xfId="2" applyNumberFormat="1" applyFont="1"/>
    <xf numFmtId="2" fontId="2" fillId="0" borderId="0" xfId="2" applyNumberFormat="1" applyFont="1" applyAlignment="1">
      <alignment horizontal="left"/>
    </xf>
    <xf numFmtId="2" fontId="2" fillId="0" borderId="0" xfId="5" applyNumberFormat="1" applyFont="1"/>
    <xf numFmtId="2" fontId="2" fillId="0" borderId="0" xfId="2" applyNumberFormat="1" applyFont="1" applyFill="1" applyAlignment="1">
      <alignment horizontal="left"/>
    </xf>
    <xf numFmtId="179" fontId="2" fillId="0" borderId="0" xfId="2" applyFont="1" applyAlignment="1">
      <alignment horizontal="right"/>
    </xf>
    <xf numFmtId="185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/>
    </xf>
    <xf numFmtId="179" fontId="2" fillId="0" borderId="1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2" fillId="0" borderId="0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wrapText="1"/>
    </xf>
    <xf numFmtId="1" fontId="3" fillId="0" borderId="0" xfId="2" applyNumberFormat="1" applyFont="1" applyBorder="1"/>
    <xf numFmtId="179" fontId="2" fillId="0" borderId="0" xfId="2" applyFont="1" applyAlignment="1">
      <alignment horizontal="center" wrapText="1"/>
    </xf>
    <xf numFmtId="176" fontId="3" fillId="0" borderId="11" xfId="2" applyNumberFormat="1" applyFont="1" applyBorder="1"/>
    <xf numFmtId="1" fontId="3" fillId="0" borderId="11" xfId="2" applyNumberFormat="1" applyFont="1" applyBorder="1"/>
    <xf numFmtId="179" fontId="2" fillId="0" borderId="0" xfId="2" applyFont="1" applyAlignment="1">
      <alignment horizontal="center"/>
    </xf>
    <xf numFmtId="182" fontId="2" fillId="0" borderId="0" xfId="2" applyNumberFormat="1" applyFont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wrapText="1"/>
    </xf>
    <xf numFmtId="182" fontId="2" fillId="0" borderId="11" xfId="2" applyNumberFormat="1" applyFont="1" applyBorder="1" applyAlignment="1">
      <alignment wrapText="1"/>
    </xf>
    <xf numFmtId="182" fontId="2" fillId="0" borderId="11" xfId="2" applyNumberFormat="1" applyFont="1" applyBorder="1" applyAlignment="1">
      <alignment horizontal="right" wrapText="1"/>
    </xf>
    <xf numFmtId="182" fontId="2" fillId="0" borderId="11" xfId="2" applyNumberFormat="1" applyFont="1" applyBorder="1" applyAlignment="1">
      <alignment horizontal="right"/>
    </xf>
    <xf numFmtId="179" fontId="2" fillId="0" borderId="11" xfId="2" applyFont="1" applyBorder="1" applyAlignment="1">
      <alignment wrapText="1"/>
    </xf>
    <xf numFmtId="0" fontId="2" fillId="0" borderId="0" xfId="2" applyNumberFormat="1" applyFont="1"/>
    <xf numFmtId="179" fontId="2" fillId="0" borderId="0" xfId="2" applyFont="1" applyAlignment="1">
      <alignment wrapText="1"/>
    </xf>
    <xf numFmtId="185" fontId="10" fillId="0" borderId="0" xfId="0" applyNumberFormat="1" applyFont="1" applyBorder="1" quotePrefix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zoomScale="110" zoomScaleNormal="110" workbookViewId="0">
      <selection activeCell="D9" sqref="D9"/>
    </sheetView>
  </sheetViews>
  <sheetFormatPr defaultColWidth="9.14285714285714" defaultRowHeight="15"/>
  <cols>
    <col min="1" max="1" width="5.14285714285714" style="98" customWidth="1"/>
    <col min="2" max="2" width="39.1428571428571" style="18" customWidth="1"/>
    <col min="3" max="3" width="12.7142857142857" style="18" customWidth="1"/>
    <col min="4" max="4" width="10.4285714285714" style="18"/>
    <col min="5" max="5" width="14" style="99" customWidth="1"/>
    <col min="6" max="6" width="9.71428571428571" style="99" customWidth="1"/>
    <col min="7" max="7" width="14" style="99" customWidth="1"/>
    <col min="8" max="8" width="10.5714285714286" style="99" customWidth="1"/>
    <col min="9" max="9" width="14" style="99" customWidth="1"/>
    <col min="10" max="256" width="9.14285714285714" style="18"/>
  </cols>
  <sheetData>
    <row r="1" spans="1:7">
      <c r="A1" s="98" t="s">
        <v>0</v>
      </c>
      <c r="C1" s="18" t="s">
        <v>1</v>
      </c>
      <c r="E1" s="98" t="s">
        <v>2</v>
      </c>
      <c r="F1" s="18"/>
      <c r="G1" s="18" t="s">
        <v>3</v>
      </c>
    </row>
    <row r="2" spans="1:7">
      <c r="A2" s="98" t="s">
        <v>4</v>
      </c>
      <c r="C2" s="18" t="s">
        <v>5</v>
      </c>
      <c r="E2" s="98" t="s">
        <v>6</v>
      </c>
      <c r="F2" s="18"/>
      <c r="G2" s="100">
        <v>44422</v>
      </c>
    </row>
    <row r="3" spans="1:7">
      <c r="A3" s="98" t="s">
        <v>7</v>
      </c>
      <c r="E3" s="98" t="s">
        <v>8</v>
      </c>
      <c r="F3" s="18"/>
      <c r="G3" s="18" t="s">
        <v>9</v>
      </c>
    </row>
    <row r="5" s="21" customFormat="1" ht="25.5" spans="1:9">
      <c r="A5" s="119" t="s">
        <v>10</v>
      </c>
      <c r="B5" s="186" t="s">
        <v>11</v>
      </c>
      <c r="C5" s="186" t="s">
        <v>12</v>
      </c>
      <c r="D5" s="186" t="s">
        <v>13</v>
      </c>
      <c r="E5" s="190" t="s">
        <v>14</v>
      </c>
      <c r="F5" s="190" t="s">
        <v>15</v>
      </c>
      <c r="G5" s="190" t="s">
        <v>15</v>
      </c>
      <c r="H5" s="190" t="s">
        <v>15</v>
      </c>
      <c r="I5" s="192"/>
    </row>
    <row r="6" spans="1:8">
      <c r="A6" s="161">
        <v>1</v>
      </c>
      <c r="B6" s="18" t="s">
        <v>16</v>
      </c>
      <c r="D6" s="18" t="s">
        <v>17</v>
      </c>
      <c r="E6" s="18">
        <v>33078</v>
      </c>
      <c r="F6" s="18">
        <v>33080</v>
      </c>
      <c r="G6" s="18">
        <v>33081</v>
      </c>
      <c r="H6" s="18">
        <v>33083</v>
      </c>
    </row>
    <row r="7" spans="1:8">
      <c r="A7" s="161">
        <v>2</v>
      </c>
      <c r="B7" s="18" t="s">
        <v>18</v>
      </c>
      <c r="D7" s="18" t="s">
        <v>17</v>
      </c>
      <c r="E7" s="18">
        <v>33085</v>
      </c>
      <c r="F7" s="18">
        <v>33087</v>
      </c>
      <c r="G7" s="18">
        <v>33090</v>
      </c>
      <c r="H7" s="18">
        <v>33091</v>
      </c>
    </row>
    <row r="8" spans="1:8">
      <c r="A8" s="161">
        <v>3</v>
      </c>
      <c r="B8" s="18" t="s">
        <v>19</v>
      </c>
      <c r="D8" s="18" t="s">
        <v>17</v>
      </c>
      <c r="E8" s="99">
        <v>0</v>
      </c>
      <c r="F8" s="99">
        <v>0</v>
      </c>
      <c r="G8" s="18">
        <v>33055</v>
      </c>
      <c r="H8" s="18">
        <v>33056</v>
      </c>
    </row>
    <row r="9" spans="1:7">
      <c r="A9" s="161">
        <v>4</v>
      </c>
      <c r="B9" s="18" t="s">
        <v>20</v>
      </c>
      <c r="D9" s="18" t="s">
        <v>21</v>
      </c>
      <c r="E9" s="99">
        <v>0</v>
      </c>
      <c r="F9" s="99">
        <v>0</v>
      </c>
      <c r="G9" s="18"/>
    </row>
    <row r="10" spans="1:7">
      <c r="A10" s="161">
        <v>5</v>
      </c>
      <c r="B10" s="18" t="s">
        <v>22</v>
      </c>
      <c r="D10" s="18" t="s">
        <v>21</v>
      </c>
      <c r="E10" s="99">
        <v>0</v>
      </c>
      <c r="F10" s="99">
        <v>0</v>
      </c>
      <c r="G10" s="18"/>
    </row>
    <row r="11" spans="1:7">
      <c r="A11" s="161">
        <v>6</v>
      </c>
      <c r="B11" s="18" t="s">
        <v>23</v>
      </c>
      <c r="D11" s="18" t="s">
        <v>21</v>
      </c>
      <c r="E11" s="99">
        <v>0</v>
      </c>
      <c r="F11" s="99">
        <v>0</v>
      </c>
      <c r="G11" s="18"/>
    </row>
    <row r="12" spans="1:7">
      <c r="A12" s="161">
        <v>7</v>
      </c>
      <c r="B12" s="18" t="s">
        <v>24</v>
      </c>
      <c r="D12" s="18" t="s">
        <v>25</v>
      </c>
      <c r="E12" s="99">
        <v>0</v>
      </c>
      <c r="G12" s="18"/>
    </row>
    <row r="13" spans="1:7">
      <c r="A13" s="161">
        <v>8</v>
      </c>
      <c r="B13" s="18" t="s">
        <v>26</v>
      </c>
      <c r="D13" s="18" t="s">
        <v>25</v>
      </c>
      <c r="E13" s="99">
        <v>0</v>
      </c>
      <c r="G13" s="18"/>
    </row>
    <row r="14" spans="1:7">
      <c r="A14" s="161">
        <v>9</v>
      </c>
      <c r="B14" s="18" t="s">
        <v>27</v>
      </c>
      <c r="D14" s="18" t="s">
        <v>25</v>
      </c>
      <c r="E14" s="99">
        <v>0</v>
      </c>
      <c r="G14" s="18"/>
    </row>
    <row r="15" spans="1:8">
      <c r="A15" s="161">
        <v>10</v>
      </c>
      <c r="B15" s="18" t="s">
        <v>28</v>
      </c>
      <c r="D15" s="18" t="s">
        <v>17</v>
      </c>
      <c r="E15" s="99">
        <v>0</v>
      </c>
      <c r="F15" s="191">
        <v>25059</v>
      </c>
      <c r="G15" s="18"/>
      <c r="H15" s="191">
        <v>25103</v>
      </c>
    </row>
    <row r="16" spans="1:7">
      <c r="A16" s="161">
        <v>11</v>
      </c>
      <c r="B16" s="18" t="s">
        <v>29</v>
      </c>
      <c r="D16" s="18" t="s">
        <v>17</v>
      </c>
      <c r="E16" s="191">
        <v>35548</v>
      </c>
      <c r="G16" s="18"/>
    </row>
    <row r="17" spans="1:7">
      <c r="A17" s="161">
        <v>12</v>
      </c>
      <c r="B17" s="18" t="s">
        <v>30</v>
      </c>
      <c r="D17" s="18" t="s">
        <v>17</v>
      </c>
      <c r="E17" s="191">
        <v>36543</v>
      </c>
      <c r="G17" s="18"/>
    </row>
    <row r="18" spans="1:7">
      <c r="A18" s="161">
        <v>13</v>
      </c>
      <c r="B18" s="18" t="s">
        <v>31</v>
      </c>
      <c r="D18" s="18" t="s">
        <v>17</v>
      </c>
      <c r="E18" s="191">
        <v>35549</v>
      </c>
      <c r="G18" s="18"/>
    </row>
    <row r="19" spans="1:7">
      <c r="A19" s="161">
        <v>14</v>
      </c>
      <c r="B19" s="18" t="s">
        <v>32</v>
      </c>
      <c r="D19" s="18" t="s">
        <v>17</v>
      </c>
      <c r="E19" s="191">
        <v>36549</v>
      </c>
      <c r="G19" s="18"/>
    </row>
    <row r="20" spans="1:7">
      <c r="A20" s="161">
        <v>15</v>
      </c>
      <c r="B20" s="18" t="s">
        <v>33</v>
      </c>
      <c r="D20" s="18" t="s">
        <v>25</v>
      </c>
      <c r="E20" s="99">
        <v>0</v>
      </c>
      <c r="G20" s="18"/>
    </row>
    <row r="21" spans="1:7">
      <c r="A21" s="161">
        <v>17</v>
      </c>
      <c r="B21" s="18" t="s">
        <v>34</v>
      </c>
      <c r="D21" s="18" t="s">
        <v>17</v>
      </c>
      <c r="E21" s="18">
        <v>33058</v>
      </c>
      <c r="G21" s="18"/>
    </row>
    <row r="22" spans="1:7">
      <c r="A22" s="161">
        <v>19</v>
      </c>
      <c r="B22" s="18" t="s">
        <v>35</v>
      </c>
      <c r="D22" s="18" t="s">
        <v>25</v>
      </c>
      <c r="E22" s="99">
        <v>0</v>
      </c>
      <c r="G22" s="18"/>
    </row>
    <row r="23" spans="1:7">
      <c r="A23" s="161">
        <v>21</v>
      </c>
      <c r="B23" s="18" t="s">
        <v>36</v>
      </c>
      <c r="D23" s="18" t="s">
        <v>17</v>
      </c>
      <c r="E23" s="191">
        <v>33506</v>
      </c>
      <c r="G23" s="18"/>
    </row>
    <row r="24" spans="1:7">
      <c r="A24" s="161">
        <v>22</v>
      </c>
      <c r="B24" s="18" t="s">
        <v>37</v>
      </c>
      <c r="D24" s="18" t="s">
        <v>17</v>
      </c>
      <c r="E24" s="191">
        <v>35520</v>
      </c>
      <c r="G24" s="18"/>
    </row>
    <row r="25" spans="1:7">
      <c r="A25" s="161">
        <v>24</v>
      </c>
      <c r="B25" s="18" t="s">
        <v>38</v>
      </c>
      <c r="D25" s="18" t="s">
        <v>17</v>
      </c>
      <c r="E25" s="18">
        <v>33053</v>
      </c>
      <c r="G25" s="18"/>
    </row>
    <row r="26" spans="1:7">
      <c r="A26" s="161">
        <v>25</v>
      </c>
      <c r="B26" s="18" t="s">
        <v>39</v>
      </c>
      <c r="D26" s="18" t="s">
        <v>17</v>
      </c>
      <c r="E26" s="18">
        <v>33052</v>
      </c>
      <c r="G26" s="18"/>
    </row>
    <row r="27" spans="1:7">
      <c r="A27" s="161">
        <v>26</v>
      </c>
      <c r="B27" s="18" t="s">
        <v>40</v>
      </c>
      <c r="D27" s="18" t="s">
        <v>17</v>
      </c>
      <c r="E27" s="18">
        <v>33057</v>
      </c>
      <c r="G27" s="18"/>
    </row>
    <row r="28" spans="1:7">
      <c r="A28" s="161">
        <v>27</v>
      </c>
      <c r="B28" s="18" t="s">
        <v>41</v>
      </c>
      <c r="D28" s="18" t="s">
        <v>17</v>
      </c>
      <c r="E28" s="191">
        <v>35547</v>
      </c>
      <c r="G28" s="18"/>
    </row>
    <row r="29" spans="1:7">
      <c r="A29" s="161">
        <v>28</v>
      </c>
      <c r="B29" s="18" t="s">
        <v>42</v>
      </c>
      <c r="D29" s="18" t="s">
        <v>17</v>
      </c>
      <c r="E29" s="191">
        <v>35550</v>
      </c>
      <c r="G29" s="18"/>
    </row>
    <row r="30" spans="1:5">
      <c r="A30" s="161">
        <v>29</v>
      </c>
      <c r="B30" s="18" t="s">
        <v>43</v>
      </c>
      <c r="D30" s="18" t="s">
        <v>21</v>
      </c>
      <c r="E30" s="99">
        <v>0</v>
      </c>
    </row>
    <row r="31" spans="1:5">
      <c r="A31" s="161">
        <v>30</v>
      </c>
      <c r="B31" s="18" t="s">
        <v>44</v>
      </c>
      <c r="D31" s="18" t="s">
        <v>21</v>
      </c>
      <c r="E31" s="99">
        <v>0</v>
      </c>
    </row>
    <row r="32" spans="1:5">
      <c r="A32" s="161">
        <v>31</v>
      </c>
      <c r="B32" s="18" t="s">
        <v>45</v>
      </c>
      <c r="D32" s="18" t="s">
        <v>17</v>
      </c>
      <c r="E32" s="191">
        <v>35546</v>
      </c>
    </row>
    <row r="33" spans="1:5">
      <c r="A33" s="161">
        <v>32</v>
      </c>
      <c r="B33" s="18" t="s">
        <v>46</v>
      </c>
      <c r="D33" s="18" t="s">
        <v>25</v>
      </c>
      <c r="E33" s="99">
        <v>0</v>
      </c>
    </row>
    <row r="34" spans="1:5">
      <c r="A34" s="161">
        <v>33</v>
      </c>
      <c r="B34" s="18" t="s">
        <v>47</v>
      </c>
      <c r="D34" s="18" t="s">
        <v>17</v>
      </c>
      <c r="E34" s="18">
        <v>33051</v>
      </c>
    </row>
    <row r="35" spans="1:5">
      <c r="A35" s="161">
        <v>34</v>
      </c>
      <c r="B35" s="18" t="s">
        <v>48</v>
      </c>
      <c r="D35" s="18" t="s">
        <v>17</v>
      </c>
      <c r="E35" s="191">
        <v>29450</v>
      </c>
    </row>
    <row r="36" spans="1:5">
      <c r="A36" s="161">
        <v>35</v>
      </c>
      <c r="B36" s="18" t="s">
        <v>49</v>
      </c>
      <c r="C36" s="18" t="s">
        <v>50</v>
      </c>
      <c r="D36" s="18" t="s">
        <v>25</v>
      </c>
      <c r="E36" s="99">
        <v>0</v>
      </c>
    </row>
    <row r="37" spans="1:4">
      <c r="A37" s="161">
        <v>36</v>
      </c>
      <c r="B37" s="18" t="s">
        <v>51</v>
      </c>
      <c r="D37" s="18" t="s">
        <v>21</v>
      </c>
    </row>
    <row r="38" spans="1:4">
      <c r="A38" s="161">
        <v>37</v>
      </c>
      <c r="B38" s="18" t="s">
        <v>52</v>
      </c>
      <c r="D38" s="18" t="s">
        <v>21</v>
      </c>
    </row>
    <row r="39" spans="1:4">
      <c r="A39" s="161">
        <v>38</v>
      </c>
      <c r="B39" s="18" t="s">
        <v>53</v>
      </c>
      <c r="D39" s="18" t="s">
        <v>21</v>
      </c>
    </row>
    <row r="40" spans="1:1">
      <c r="A40" s="161"/>
    </row>
  </sheetData>
  <printOptions gridLines="1"/>
  <pageMargins left="0.7" right="0.7" top="0.75" bottom="0.75" header="0.3" footer="0.3"/>
  <pageSetup paperSize="9" scale="84" orientation="landscape"/>
  <headerFooter>
    <oddHeader>&amp;C&amp;F
&amp;A</oddHeader>
    <oddFooter>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83"/>
  <sheetViews>
    <sheetView workbookViewId="0">
      <selection activeCell="E11" sqref="E11"/>
    </sheetView>
  </sheetViews>
  <sheetFormatPr defaultColWidth="9.14285714285714" defaultRowHeight="12.75"/>
  <cols>
    <col min="1" max="1" width="25.1428571428571" style="3" customWidth="1"/>
    <col min="2" max="2" width="15.7142857142857" style="2" customWidth="1"/>
    <col min="3" max="3" width="12.7142857142857" style="17" customWidth="1"/>
    <col min="4" max="4" width="12.7142857142857" style="3" customWidth="1"/>
    <col min="5" max="247" width="9.14285714285714" style="3"/>
    <col min="248" max="16384" width="9.14285714285714" style="4"/>
  </cols>
  <sheetData>
    <row r="1" s="33" customFormat="1" spans="1:247">
      <c r="A1" s="5" t="s">
        <v>273</v>
      </c>
      <c r="B1" s="6" t="s">
        <v>347</v>
      </c>
      <c r="C1" s="34" t="s">
        <v>348</v>
      </c>
      <c r="D1" s="35" t="s">
        <v>349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</row>
    <row r="2" spans="1:4">
      <c r="A2" s="8" t="s">
        <v>292</v>
      </c>
      <c r="B2" s="9"/>
      <c r="D2" s="36">
        <v>0</v>
      </c>
    </row>
    <row r="3" spans="1:4">
      <c r="A3" s="37" t="s">
        <v>293</v>
      </c>
      <c r="B3" s="9">
        <v>1133630</v>
      </c>
      <c r="C3" s="17">
        <v>221501</v>
      </c>
      <c r="D3" s="36">
        <v>594421</v>
      </c>
    </row>
    <row r="4" spans="1:4">
      <c r="A4" s="37" t="s">
        <v>350</v>
      </c>
      <c r="B4" s="9"/>
      <c r="C4" s="17">
        <v>561170</v>
      </c>
      <c r="D4" s="36">
        <v>0</v>
      </c>
    </row>
    <row r="5" spans="1:4">
      <c r="A5" s="37" t="s">
        <v>351</v>
      </c>
      <c r="B5" s="9">
        <v>0</v>
      </c>
      <c r="C5" s="17">
        <v>1106355.94</v>
      </c>
      <c r="D5" s="36">
        <v>0</v>
      </c>
    </row>
    <row r="6" spans="1:4">
      <c r="A6" s="37" t="s">
        <v>352</v>
      </c>
      <c r="B6" s="9">
        <v>26019</v>
      </c>
      <c r="C6" s="17">
        <v>0</v>
      </c>
      <c r="D6" s="36">
        <v>0</v>
      </c>
    </row>
    <row r="7" spans="1:4">
      <c r="A7" s="37" t="s">
        <v>300</v>
      </c>
      <c r="B7" s="38">
        <v>300</v>
      </c>
      <c r="C7" s="17">
        <v>11.8</v>
      </c>
      <c r="D7" s="36">
        <v>0</v>
      </c>
    </row>
    <row r="8" ht="13.5" spans="1:4">
      <c r="A8" s="39" t="s">
        <v>353</v>
      </c>
      <c r="B8" s="40">
        <f>SUM(B3:B7)</f>
        <v>1159949</v>
      </c>
      <c r="C8" s="41">
        <f>SUM(C3:C7)</f>
        <v>1889038.74</v>
      </c>
      <c r="D8" s="41">
        <f>SUM(D2:D7)</f>
        <v>594421</v>
      </c>
    </row>
    <row r="9" ht="13.5" spans="1:4">
      <c r="A9" s="8" t="s">
        <v>298</v>
      </c>
      <c r="B9" s="42"/>
      <c r="C9" s="17">
        <f>7386410-C8</f>
        <v>5497371.26</v>
      </c>
      <c r="D9" s="17">
        <f>2141354-D8</f>
        <v>1546933</v>
      </c>
    </row>
    <row r="10" spans="1:2">
      <c r="A10" s="10" t="s">
        <v>354</v>
      </c>
      <c r="B10" s="15"/>
    </row>
    <row r="11" spans="1:4">
      <c r="A11" s="25" t="s">
        <v>355</v>
      </c>
      <c r="B11" s="43">
        <v>42678</v>
      </c>
      <c r="C11" s="17">
        <v>0</v>
      </c>
      <c r="D11" s="36">
        <v>0</v>
      </c>
    </row>
    <row r="12" spans="1:4">
      <c r="A12" s="25" t="s">
        <v>356</v>
      </c>
      <c r="B12" s="43">
        <v>44163</v>
      </c>
      <c r="C12" s="17">
        <v>0</v>
      </c>
      <c r="D12" s="36">
        <v>0</v>
      </c>
    </row>
    <row r="13" spans="1:4">
      <c r="A13" s="25" t="s">
        <v>357</v>
      </c>
      <c r="B13" s="43">
        <v>1103578.01</v>
      </c>
      <c r="C13" s="17">
        <v>0</v>
      </c>
      <c r="D13" s="36">
        <v>0</v>
      </c>
    </row>
    <row r="14" spans="1:4">
      <c r="A14" s="25" t="s">
        <v>358</v>
      </c>
      <c r="B14" s="43">
        <v>162250</v>
      </c>
      <c r="C14" s="17">
        <v>0</v>
      </c>
      <c r="D14" s="36">
        <v>0</v>
      </c>
    </row>
    <row r="15" spans="1:4">
      <c r="A15" s="25" t="s">
        <v>359</v>
      </c>
      <c r="B15" s="43">
        <v>17539.89</v>
      </c>
      <c r="C15" s="17">
        <v>0</v>
      </c>
      <c r="D15" s="36">
        <v>0</v>
      </c>
    </row>
    <row r="16" spans="1:4">
      <c r="A16" s="25" t="s">
        <v>360</v>
      </c>
      <c r="B16" s="43">
        <v>4500</v>
      </c>
      <c r="C16" s="17">
        <v>0</v>
      </c>
      <c r="D16" s="36">
        <v>0</v>
      </c>
    </row>
    <row r="17" spans="1:4">
      <c r="A17" s="25" t="s">
        <v>361</v>
      </c>
      <c r="B17" s="43">
        <v>174992.87</v>
      </c>
      <c r="C17" s="17">
        <v>0</v>
      </c>
      <c r="D17" s="36">
        <v>0</v>
      </c>
    </row>
    <row r="18" spans="1:4">
      <c r="A18" s="25" t="s">
        <v>362</v>
      </c>
      <c r="B18" s="43">
        <v>253720</v>
      </c>
      <c r="C18" s="17">
        <v>0</v>
      </c>
      <c r="D18" s="36">
        <v>0</v>
      </c>
    </row>
    <row r="19" spans="1:4">
      <c r="A19" s="25" t="s">
        <v>363</v>
      </c>
      <c r="B19" s="43">
        <v>55932</v>
      </c>
      <c r="C19" s="17">
        <v>0</v>
      </c>
      <c r="D19" s="36">
        <v>0</v>
      </c>
    </row>
    <row r="20" spans="1:4">
      <c r="A20" s="25" t="s">
        <v>364</v>
      </c>
      <c r="B20" s="43">
        <v>6785</v>
      </c>
      <c r="C20" s="17">
        <v>0</v>
      </c>
      <c r="D20" s="36">
        <v>0</v>
      </c>
    </row>
    <row r="21" spans="1:4">
      <c r="A21" s="25" t="s">
        <v>365</v>
      </c>
      <c r="B21" s="43">
        <v>152640</v>
      </c>
      <c r="C21" s="17">
        <v>0</v>
      </c>
      <c r="D21" s="36">
        <v>0</v>
      </c>
    </row>
    <row r="22" spans="1:4">
      <c r="A22" s="25" t="s">
        <v>366</v>
      </c>
      <c r="B22" s="43">
        <v>25440</v>
      </c>
      <c r="C22" s="17">
        <v>0</v>
      </c>
      <c r="D22" s="36">
        <v>0</v>
      </c>
    </row>
    <row r="23" spans="1:4">
      <c r="A23" s="18" t="s">
        <v>367</v>
      </c>
      <c r="B23" s="44"/>
      <c r="C23" s="17">
        <v>0</v>
      </c>
      <c r="D23" s="36"/>
    </row>
    <row r="24" spans="1:4">
      <c r="A24" s="25" t="s">
        <v>368</v>
      </c>
      <c r="B24" s="45">
        <v>83731</v>
      </c>
      <c r="C24" s="17">
        <v>0</v>
      </c>
      <c r="D24" s="36">
        <v>0</v>
      </c>
    </row>
    <row r="25" spans="1:4">
      <c r="A25" s="25" t="s">
        <v>369</v>
      </c>
      <c r="B25" s="45">
        <v>995</v>
      </c>
      <c r="C25" s="17">
        <v>0</v>
      </c>
      <c r="D25" s="36">
        <v>0</v>
      </c>
    </row>
    <row r="26" spans="1:4">
      <c r="A26" s="25" t="s">
        <v>370</v>
      </c>
      <c r="B26" s="45">
        <v>5598</v>
      </c>
      <c r="C26" s="17">
        <v>0</v>
      </c>
      <c r="D26" s="36">
        <v>0</v>
      </c>
    </row>
    <row r="27" spans="1:4">
      <c r="A27" s="25" t="s">
        <v>371</v>
      </c>
      <c r="B27" s="45">
        <v>19613</v>
      </c>
      <c r="C27" s="17">
        <v>0</v>
      </c>
      <c r="D27" s="36">
        <v>0</v>
      </c>
    </row>
    <row r="28" spans="1:4">
      <c r="A28" s="25" t="s">
        <v>372</v>
      </c>
      <c r="B28" s="45">
        <v>24150</v>
      </c>
      <c r="C28" s="17">
        <v>0</v>
      </c>
      <c r="D28" s="36">
        <v>0</v>
      </c>
    </row>
    <row r="29" spans="1:4">
      <c r="A29" s="25" t="s">
        <v>323</v>
      </c>
      <c r="B29" s="45">
        <v>1173580</v>
      </c>
      <c r="C29" s="17">
        <v>0</v>
      </c>
      <c r="D29" s="36">
        <v>0</v>
      </c>
    </row>
    <row r="30" spans="1:4">
      <c r="A30" s="25" t="s">
        <v>373</v>
      </c>
      <c r="B30" s="45">
        <v>2626</v>
      </c>
      <c r="C30" s="17">
        <v>0</v>
      </c>
      <c r="D30" s="36">
        <v>0</v>
      </c>
    </row>
    <row r="31" spans="1:4">
      <c r="A31" s="25" t="s">
        <v>310</v>
      </c>
      <c r="B31" s="45">
        <v>0</v>
      </c>
      <c r="C31" s="17">
        <v>0</v>
      </c>
      <c r="D31" s="36">
        <v>0</v>
      </c>
    </row>
    <row r="32" spans="1:4">
      <c r="A32" s="25" t="s">
        <v>374</v>
      </c>
      <c r="B32" s="45">
        <v>0</v>
      </c>
      <c r="C32" s="17">
        <v>0</v>
      </c>
      <c r="D32" s="36">
        <v>0</v>
      </c>
    </row>
    <row r="33" spans="1:4">
      <c r="A33" s="25" t="s">
        <v>375</v>
      </c>
      <c r="B33" s="45">
        <v>5450</v>
      </c>
      <c r="C33" s="17">
        <v>0</v>
      </c>
      <c r="D33" s="36">
        <v>0</v>
      </c>
    </row>
    <row r="34" spans="1:4">
      <c r="A34" s="10" t="s">
        <v>376</v>
      </c>
      <c r="B34" s="46"/>
      <c r="C34" s="17">
        <v>0</v>
      </c>
      <c r="D34" s="36"/>
    </row>
    <row r="35" spans="1:4">
      <c r="A35" s="25" t="s">
        <v>377</v>
      </c>
      <c r="B35" s="46">
        <v>379603.68</v>
      </c>
      <c r="C35" s="17">
        <v>0</v>
      </c>
      <c r="D35" s="36">
        <v>0</v>
      </c>
    </row>
    <row r="36" spans="1:4">
      <c r="A36" s="25" t="s">
        <v>378</v>
      </c>
      <c r="B36" s="46">
        <v>711170.78</v>
      </c>
      <c r="C36" s="17">
        <v>0</v>
      </c>
      <c r="D36" s="36">
        <v>0</v>
      </c>
    </row>
    <row r="37" spans="1:4">
      <c r="A37" s="25" t="s">
        <v>379</v>
      </c>
      <c r="B37" s="46">
        <v>30647</v>
      </c>
      <c r="C37" s="17">
        <v>0</v>
      </c>
      <c r="D37" s="36">
        <v>0</v>
      </c>
    </row>
    <row r="38" spans="1:4">
      <c r="A38" s="25" t="s">
        <v>380</v>
      </c>
      <c r="B38" s="46">
        <v>129139.18</v>
      </c>
      <c r="C38" s="17">
        <v>0</v>
      </c>
      <c r="D38" s="36">
        <v>0</v>
      </c>
    </row>
    <row r="39" spans="1:4">
      <c r="A39" s="25" t="s">
        <v>381</v>
      </c>
      <c r="B39" s="46">
        <v>29143.8</v>
      </c>
      <c r="C39" s="17">
        <v>0</v>
      </c>
      <c r="D39" s="36">
        <v>0</v>
      </c>
    </row>
    <row r="40" spans="1:4">
      <c r="A40" s="10" t="s">
        <v>382</v>
      </c>
      <c r="B40" s="46"/>
      <c r="C40" s="17">
        <v>0</v>
      </c>
      <c r="D40" s="36"/>
    </row>
    <row r="41" spans="1:4">
      <c r="A41" s="25" t="s">
        <v>383</v>
      </c>
      <c r="B41" s="46">
        <v>1000</v>
      </c>
      <c r="C41" s="17">
        <v>0</v>
      </c>
      <c r="D41" s="36">
        <v>0</v>
      </c>
    </row>
    <row r="42" spans="1:4">
      <c r="A42" s="25" t="s">
        <v>294</v>
      </c>
      <c r="B42" s="46">
        <v>3296</v>
      </c>
      <c r="C42" s="17">
        <v>0</v>
      </c>
      <c r="D42" s="36">
        <v>0</v>
      </c>
    </row>
    <row r="43" spans="1:4">
      <c r="A43" s="25" t="s">
        <v>384</v>
      </c>
      <c r="B43" s="46">
        <v>50</v>
      </c>
      <c r="C43" s="17">
        <v>0</v>
      </c>
      <c r="D43" s="36">
        <v>0</v>
      </c>
    </row>
    <row r="44" spans="1:4">
      <c r="A44" s="10" t="s">
        <v>385</v>
      </c>
      <c r="B44" s="46"/>
      <c r="C44" s="17">
        <v>0</v>
      </c>
      <c r="D44" s="36"/>
    </row>
    <row r="45" spans="1:4">
      <c r="A45" s="25" t="s">
        <v>314</v>
      </c>
      <c r="B45" s="46">
        <v>14381.97</v>
      </c>
      <c r="C45" s="17">
        <v>0</v>
      </c>
      <c r="D45" s="36">
        <v>0</v>
      </c>
    </row>
    <row r="46" spans="1:4">
      <c r="A46" s="25" t="s">
        <v>386</v>
      </c>
      <c r="B46" s="46">
        <v>597854.9</v>
      </c>
      <c r="C46" s="17">
        <v>0</v>
      </c>
      <c r="D46" s="36">
        <v>0</v>
      </c>
    </row>
    <row r="47" spans="1:4">
      <c r="A47" s="25" t="s">
        <v>387</v>
      </c>
      <c r="B47" s="46">
        <v>12947.16</v>
      </c>
      <c r="C47" s="17">
        <v>0</v>
      </c>
      <c r="D47" s="36">
        <v>0</v>
      </c>
    </row>
    <row r="48" spans="1:4">
      <c r="A48" s="25" t="s">
        <v>388</v>
      </c>
      <c r="B48" s="46">
        <v>4378</v>
      </c>
      <c r="C48" s="17">
        <v>0</v>
      </c>
      <c r="D48" s="36">
        <v>0</v>
      </c>
    </row>
    <row r="49" spans="1:4">
      <c r="A49" s="25" t="s">
        <v>389</v>
      </c>
      <c r="B49" s="46">
        <v>31626</v>
      </c>
      <c r="C49" s="17">
        <v>0</v>
      </c>
      <c r="D49" s="36">
        <v>0</v>
      </c>
    </row>
    <row r="50" spans="1:4">
      <c r="A50" s="25" t="s">
        <v>390</v>
      </c>
      <c r="B50" s="46">
        <v>39483.86</v>
      </c>
      <c r="C50" s="17">
        <v>0</v>
      </c>
      <c r="D50" s="36">
        <v>0</v>
      </c>
    </row>
    <row r="51" spans="1:4">
      <c r="A51" s="25" t="s">
        <v>391</v>
      </c>
      <c r="B51" s="9">
        <v>9854.18</v>
      </c>
      <c r="C51" s="17">
        <v>0</v>
      </c>
      <c r="D51" s="36">
        <v>0</v>
      </c>
    </row>
    <row r="52" spans="1:4">
      <c r="A52" s="25" t="s">
        <v>392</v>
      </c>
      <c r="B52" s="9">
        <v>2475</v>
      </c>
      <c r="C52" s="17">
        <v>0</v>
      </c>
      <c r="D52" s="36">
        <v>0</v>
      </c>
    </row>
    <row r="53" spans="1:4">
      <c r="A53" s="25" t="s">
        <v>393</v>
      </c>
      <c r="B53" s="9">
        <v>4779</v>
      </c>
      <c r="C53" s="17">
        <v>0</v>
      </c>
      <c r="D53" s="36">
        <v>0</v>
      </c>
    </row>
    <row r="54" spans="1:4">
      <c r="A54" s="25" t="s">
        <v>312</v>
      </c>
      <c r="B54" s="46">
        <v>39820</v>
      </c>
      <c r="C54" s="17">
        <v>0</v>
      </c>
      <c r="D54" s="36">
        <v>0</v>
      </c>
    </row>
    <row r="55" spans="1:4">
      <c r="A55" s="25" t="s">
        <v>394</v>
      </c>
      <c r="B55" s="46">
        <v>840</v>
      </c>
      <c r="C55" s="17">
        <v>0</v>
      </c>
      <c r="D55" s="36">
        <v>0</v>
      </c>
    </row>
    <row r="56" spans="1:4">
      <c r="A56" s="25" t="s">
        <v>395</v>
      </c>
      <c r="B56" s="46">
        <v>54095</v>
      </c>
      <c r="C56" s="17">
        <v>0</v>
      </c>
      <c r="D56" s="36">
        <v>0</v>
      </c>
    </row>
    <row r="57" spans="1:4">
      <c r="A57" s="25" t="s">
        <v>396</v>
      </c>
      <c r="B57" s="46">
        <v>10000</v>
      </c>
      <c r="C57" s="17">
        <v>0</v>
      </c>
      <c r="D57" s="36">
        <v>0</v>
      </c>
    </row>
    <row r="58" spans="1:4">
      <c r="A58" s="25" t="s">
        <v>397</v>
      </c>
      <c r="B58" s="9">
        <v>25740</v>
      </c>
      <c r="C58" s="17">
        <v>0</v>
      </c>
      <c r="D58" s="36">
        <v>0</v>
      </c>
    </row>
    <row r="59" spans="1:4">
      <c r="A59" s="25" t="s">
        <v>398</v>
      </c>
      <c r="B59" s="9">
        <v>17700</v>
      </c>
      <c r="C59" s="17">
        <v>0</v>
      </c>
      <c r="D59" s="36">
        <v>0</v>
      </c>
    </row>
    <row r="60" spans="1:4">
      <c r="A60" s="25" t="s">
        <v>399</v>
      </c>
      <c r="B60" s="9">
        <v>35400</v>
      </c>
      <c r="C60" s="17">
        <v>0</v>
      </c>
      <c r="D60" s="36">
        <v>0</v>
      </c>
    </row>
    <row r="61" spans="1:4">
      <c r="A61" s="25" t="s">
        <v>400</v>
      </c>
      <c r="B61" s="9">
        <v>590</v>
      </c>
      <c r="C61" s="17">
        <v>0</v>
      </c>
      <c r="D61" s="36">
        <v>0</v>
      </c>
    </row>
    <row r="62" spans="1:4">
      <c r="A62" s="25" t="s">
        <v>401</v>
      </c>
      <c r="B62" s="9">
        <v>50.48</v>
      </c>
      <c r="C62" s="17">
        <v>0</v>
      </c>
      <c r="D62" s="36">
        <v>0</v>
      </c>
    </row>
    <row r="63" spans="1:4">
      <c r="A63" s="25" t="s">
        <v>402</v>
      </c>
      <c r="B63" s="46">
        <v>90</v>
      </c>
      <c r="C63" s="17">
        <v>0</v>
      </c>
      <c r="D63" s="36">
        <v>0</v>
      </c>
    </row>
    <row r="64" spans="1:4">
      <c r="A64" s="25" t="s">
        <v>403</v>
      </c>
      <c r="B64" s="46">
        <v>22882</v>
      </c>
      <c r="C64" s="17">
        <v>0</v>
      </c>
      <c r="D64" s="36">
        <v>0</v>
      </c>
    </row>
    <row r="65" spans="1:4">
      <c r="A65" s="25" t="s">
        <v>327</v>
      </c>
      <c r="B65" s="46">
        <v>1350</v>
      </c>
      <c r="C65" s="17">
        <v>0</v>
      </c>
      <c r="D65" s="36">
        <v>0</v>
      </c>
    </row>
    <row r="66" ht="13.5" spans="1:4">
      <c r="A66" s="39" t="s">
        <v>404</v>
      </c>
      <c r="B66" s="40">
        <f>SUM(B11:B65)</f>
        <v>5570349.76</v>
      </c>
      <c r="C66" s="41">
        <f>SUM(C9:C65)</f>
        <v>5497371.26</v>
      </c>
      <c r="D66" s="41">
        <f>SUM(D9:D65)</f>
        <v>1546933</v>
      </c>
    </row>
    <row r="67" ht="13.5" spans="1:2">
      <c r="A67" s="10"/>
      <c r="B67" s="15"/>
    </row>
    <row r="68" hidden="1" spans="1:4">
      <c r="A68" s="10"/>
      <c r="B68" s="15"/>
      <c r="D68" s="47">
        <f>946889-D66</f>
        <v>-600044</v>
      </c>
    </row>
    <row r="69" spans="1:4">
      <c r="A69" s="10"/>
      <c r="B69" s="15"/>
      <c r="D69" s="48"/>
    </row>
    <row r="70" spans="1:4">
      <c r="A70" s="10"/>
      <c r="B70" s="15"/>
      <c r="D70" s="47"/>
    </row>
    <row r="71" spans="1:2">
      <c r="A71" s="10"/>
      <c r="B71" s="15"/>
    </row>
    <row r="72" spans="1:1">
      <c r="A72" s="5"/>
    </row>
    <row r="74" spans="1:1">
      <c r="A74" s="49"/>
    </row>
    <row r="75" spans="1:2">
      <c r="A75" s="10"/>
      <c r="B75" s="15"/>
    </row>
    <row r="76" spans="1:2">
      <c r="A76" s="10"/>
      <c r="B76" s="15"/>
    </row>
    <row r="77" spans="1:2">
      <c r="A77" s="10"/>
      <c r="B77" s="15"/>
    </row>
    <row r="78" spans="1:2">
      <c r="A78" s="10"/>
      <c r="B78" s="15"/>
    </row>
    <row r="79" spans="1:2">
      <c r="A79" s="10"/>
      <c r="B79" s="15"/>
    </row>
    <row r="80" spans="1:2">
      <c r="A80" s="10"/>
      <c r="B80" s="15"/>
    </row>
    <row r="81" spans="1:2">
      <c r="A81" s="10"/>
      <c r="B81" s="15"/>
    </row>
    <row r="82" spans="1:2">
      <c r="A82" s="10"/>
      <c r="B82" s="15"/>
    </row>
    <row r="83" spans="1:1">
      <c r="A83" s="5"/>
    </row>
  </sheetData>
  <printOptions gridLines="1"/>
  <pageMargins left="0.7" right="0.7" top="0.75" bottom="0.75" header="0.3" footer="0.3"/>
  <pageSetup paperSize="9" scale="90" orientation="portrait"/>
  <headerFooter>
    <oddHeader>&amp;C&amp;F
&amp;A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25"/>
  <sheetViews>
    <sheetView workbookViewId="0">
      <selection activeCell="J18" sqref="J18"/>
    </sheetView>
  </sheetViews>
  <sheetFormatPr defaultColWidth="9.14285714285714" defaultRowHeight="12.75"/>
  <cols>
    <col min="1" max="1" width="44.8571428571429" style="3" customWidth="1"/>
    <col min="2" max="2" width="12.4285714285714" style="17" customWidth="1"/>
    <col min="3" max="3" width="11.5714285714286" style="17" customWidth="1"/>
    <col min="4" max="4" width="14.2857142857143" style="3" customWidth="1"/>
    <col min="5" max="5" width="11" style="3"/>
    <col min="6" max="243" width="9.14285714285714" style="3"/>
    <col min="244" max="16384" width="9.14285714285714" style="18"/>
  </cols>
  <sheetData>
    <row r="1" spans="1:4">
      <c r="A1" s="19" t="s">
        <v>273</v>
      </c>
      <c r="B1" s="20" t="s">
        <v>347</v>
      </c>
      <c r="C1" s="20" t="s">
        <v>405</v>
      </c>
      <c r="D1" s="3" t="s">
        <v>406</v>
      </c>
    </row>
    <row r="2" spans="1:2">
      <c r="A2" s="21" t="s">
        <v>407</v>
      </c>
      <c r="B2" s="22"/>
    </row>
    <row r="3" spans="1:4">
      <c r="A3" s="23" t="s">
        <v>408</v>
      </c>
      <c r="B3" s="22"/>
      <c r="C3" s="17">
        <v>40942983.67</v>
      </c>
      <c r="D3" s="24">
        <f>3998260.88+1335849</f>
        <v>5334109.88</v>
      </c>
    </row>
    <row r="4" spans="1:4">
      <c r="A4" s="25" t="s">
        <v>409</v>
      </c>
      <c r="B4" s="26">
        <v>566582.96</v>
      </c>
      <c r="C4" s="17">
        <v>0</v>
      </c>
      <c r="D4" s="17">
        <v>0</v>
      </c>
    </row>
    <row r="5" spans="1:4">
      <c r="A5" s="25" t="s">
        <v>410</v>
      </c>
      <c r="B5" s="26">
        <v>25822.21</v>
      </c>
      <c r="C5" s="17">
        <v>0</v>
      </c>
      <c r="D5" s="17">
        <v>0</v>
      </c>
    </row>
    <row r="6" spans="1:4">
      <c r="A6" s="25" t="s">
        <v>411</v>
      </c>
      <c r="B6" s="26"/>
      <c r="C6" s="17">
        <v>0</v>
      </c>
      <c r="D6" s="17">
        <v>0</v>
      </c>
    </row>
    <row r="7" spans="1:4">
      <c r="A7" s="25" t="s">
        <v>412</v>
      </c>
      <c r="B7" s="26"/>
      <c r="C7" s="17">
        <v>0</v>
      </c>
      <c r="D7" s="17">
        <v>0</v>
      </c>
    </row>
    <row r="8" spans="1:4">
      <c r="A8" s="25" t="s">
        <v>413</v>
      </c>
      <c r="B8" s="26">
        <v>382200</v>
      </c>
      <c r="C8" s="17">
        <v>0</v>
      </c>
      <c r="D8" s="17">
        <v>0</v>
      </c>
    </row>
    <row r="9" spans="1:4">
      <c r="A9" s="25" t="s">
        <v>414</v>
      </c>
      <c r="B9" s="26">
        <v>86708.56</v>
      </c>
      <c r="C9" s="17">
        <v>0</v>
      </c>
      <c r="D9" s="17">
        <v>0</v>
      </c>
    </row>
    <row r="10" spans="1:4">
      <c r="A10" s="25" t="s">
        <v>415</v>
      </c>
      <c r="B10" s="26">
        <v>178585.34</v>
      </c>
      <c r="C10" s="17">
        <v>0</v>
      </c>
      <c r="D10" s="17">
        <v>0</v>
      </c>
    </row>
    <row r="11" spans="1:4">
      <c r="A11" s="25" t="s">
        <v>416</v>
      </c>
      <c r="B11" s="26">
        <v>13810.06</v>
      </c>
      <c r="C11" s="17">
        <v>0</v>
      </c>
      <c r="D11" s="17">
        <v>0</v>
      </c>
    </row>
    <row r="12" spans="1:4">
      <c r="A12" s="25" t="s">
        <v>417</v>
      </c>
      <c r="B12" s="26">
        <v>38665.17</v>
      </c>
      <c r="C12" s="17">
        <v>0</v>
      </c>
      <c r="D12" s="17">
        <v>0</v>
      </c>
    </row>
    <row r="13" spans="1:4">
      <c r="A13" s="25" t="s">
        <v>418</v>
      </c>
      <c r="B13" s="26">
        <v>30104</v>
      </c>
      <c r="C13" s="17">
        <v>0</v>
      </c>
      <c r="D13" s="17">
        <v>0</v>
      </c>
    </row>
    <row r="14" spans="1:4">
      <c r="A14" s="25" t="s">
        <v>419</v>
      </c>
      <c r="B14" s="26">
        <v>487752.52</v>
      </c>
      <c r="C14" s="17">
        <v>0</v>
      </c>
      <c r="D14" s="17">
        <v>0</v>
      </c>
    </row>
    <row r="15" spans="1:4">
      <c r="A15" s="25" t="s">
        <v>420</v>
      </c>
      <c r="B15" s="26">
        <v>91515.3</v>
      </c>
      <c r="C15" s="17">
        <v>0</v>
      </c>
      <c r="D15" s="17">
        <v>0</v>
      </c>
    </row>
    <row r="16" spans="1:4">
      <c r="A16" s="25" t="s">
        <v>421</v>
      </c>
      <c r="B16" s="26">
        <v>108690.4</v>
      </c>
      <c r="C16" s="17">
        <v>0</v>
      </c>
      <c r="D16" s="17">
        <v>0</v>
      </c>
    </row>
    <row r="17" spans="1:4">
      <c r="A17" s="25" t="s">
        <v>422</v>
      </c>
      <c r="B17" s="26">
        <v>123263.61</v>
      </c>
      <c r="C17" s="17">
        <v>0</v>
      </c>
      <c r="D17" s="17">
        <v>0</v>
      </c>
    </row>
    <row r="18" spans="1:4">
      <c r="A18" s="25" t="s">
        <v>423</v>
      </c>
      <c r="B18" s="26">
        <v>125724.87</v>
      </c>
      <c r="C18" s="17">
        <v>0</v>
      </c>
      <c r="D18" s="17">
        <v>0</v>
      </c>
    </row>
    <row r="19" spans="1:4">
      <c r="A19" s="25" t="s">
        <v>424</v>
      </c>
      <c r="B19" s="26">
        <v>241866.12</v>
      </c>
      <c r="C19" s="17">
        <v>0</v>
      </c>
      <c r="D19" s="17">
        <v>0</v>
      </c>
    </row>
    <row r="20" spans="1:4">
      <c r="A20" s="25" t="s">
        <v>425</v>
      </c>
      <c r="B20" s="26">
        <v>40674.66</v>
      </c>
      <c r="C20" s="17">
        <v>0</v>
      </c>
      <c r="D20" s="17">
        <v>0</v>
      </c>
    </row>
    <row r="21" spans="1:4">
      <c r="A21" s="25" t="s">
        <v>426</v>
      </c>
      <c r="B21" s="26">
        <v>70000</v>
      </c>
      <c r="C21" s="17">
        <v>0</v>
      </c>
      <c r="D21" s="17">
        <v>0</v>
      </c>
    </row>
    <row r="22" spans="1:4">
      <c r="A22" s="25" t="s">
        <v>427</v>
      </c>
      <c r="B22" s="26">
        <v>45200</v>
      </c>
      <c r="C22" s="17">
        <v>0</v>
      </c>
      <c r="D22" s="17">
        <v>0</v>
      </c>
    </row>
    <row r="23" spans="1:4">
      <c r="A23" s="25" t="s">
        <v>428</v>
      </c>
      <c r="B23" s="26">
        <v>81022</v>
      </c>
      <c r="C23" s="17">
        <v>0</v>
      </c>
      <c r="D23" s="17">
        <v>0</v>
      </c>
    </row>
    <row r="24" spans="1:4">
      <c r="A24" s="25" t="s">
        <v>429</v>
      </c>
      <c r="B24" s="26">
        <v>375560.07</v>
      </c>
      <c r="C24" s="17">
        <v>0</v>
      </c>
      <c r="D24" s="17">
        <v>0</v>
      </c>
    </row>
    <row r="25" spans="1:4">
      <c r="A25" s="25" t="s">
        <v>430</v>
      </c>
      <c r="B25" s="26">
        <v>229167.26</v>
      </c>
      <c r="C25" s="17">
        <v>0</v>
      </c>
      <c r="D25" s="17">
        <v>0</v>
      </c>
    </row>
    <row r="26" spans="1:4">
      <c r="A26" s="25" t="s">
        <v>431</v>
      </c>
      <c r="B26" s="26">
        <v>57003</v>
      </c>
      <c r="C26" s="17">
        <v>0</v>
      </c>
      <c r="D26" s="17">
        <v>0</v>
      </c>
    </row>
    <row r="27" spans="1:4">
      <c r="A27" s="25" t="s">
        <v>432</v>
      </c>
      <c r="B27" s="26">
        <v>1132.8</v>
      </c>
      <c r="C27" s="17">
        <v>0</v>
      </c>
      <c r="D27" s="17">
        <v>0</v>
      </c>
    </row>
    <row r="28" spans="1:4">
      <c r="A28" s="25" t="s">
        <v>433</v>
      </c>
      <c r="B28" s="26">
        <v>5990</v>
      </c>
      <c r="C28" s="17">
        <v>0</v>
      </c>
      <c r="D28" s="17">
        <v>0</v>
      </c>
    </row>
    <row r="29" spans="1:4">
      <c r="A29" s="25" t="s">
        <v>434</v>
      </c>
      <c r="B29" s="26">
        <v>10500</v>
      </c>
      <c r="C29" s="17">
        <v>0</v>
      </c>
      <c r="D29" s="17">
        <v>0</v>
      </c>
    </row>
    <row r="30" spans="1:4">
      <c r="A30" s="25" t="s">
        <v>435</v>
      </c>
      <c r="B30" s="26">
        <v>69465.43</v>
      </c>
      <c r="C30" s="17">
        <v>0</v>
      </c>
      <c r="D30" s="17">
        <v>0</v>
      </c>
    </row>
    <row r="31" spans="1:4">
      <c r="A31" s="25" t="s">
        <v>436</v>
      </c>
      <c r="B31" s="26">
        <v>5000</v>
      </c>
      <c r="C31" s="17">
        <v>0</v>
      </c>
      <c r="D31" s="17">
        <v>0</v>
      </c>
    </row>
    <row r="32" spans="1:4">
      <c r="A32" s="25" t="s">
        <v>437</v>
      </c>
      <c r="B32" s="26">
        <v>410060</v>
      </c>
      <c r="C32" s="17">
        <v>0</v>
      </c>
      <c r="D32" s="17">
        <v>0</v>
      </c>
    </row>
    <row r="33" spans="1:4">
      <c r="A33" s="25" t="s">
        <v>438</v>
      </c>
      <c r="B33" s="26">
        <v>207000</v>
      </c>
      <c r="C33" s="17">
        <v>0</v>
      </c>
      <c r="D33" s="17">
        <v>0</v>
      </c>
    </row>
    <row r="34" spans="1:4">
      <c r="A34" s="25" t="s">
        <v>439</v>
      </c>
      <c r="B34" s="26">
        <v>60156</v>
      </c>
      <c r="C34" s="17">
        <v>0</v>
      </c>
      <c r="D34" s="17">
        <v>0</v>
      </c>
    </row>
    <row r="35" spans="1:4">
      <c r="A35" s="25" t="s">
        <v>440</v>
      </c>
      <c r="B35" s="26">
        <v>8064</v>
      </c>
      <c r="C35" s="17">
        <v>0</v>
      </c>
      <c r="D35" s="17">
        <v>0</v>
      </c>
    </row>
    <row r="36" spans="1:4">
      <c r="A36" s="25" t="s">
        <v>441</v>
      </c>
      <c r="B36" s="26">
        <v>67846.96</v>
      </c>
      <c r="C36" s="17">
        <v>0</v>
      </c>
      <c r="D36" s="17">
        <v>0</v>
      </c>
    </row>
    <row r="37" spans="1:4">
      <c r="A37" s="25" t="s">
        <v>442</v>
      </c>
      <c r="B37" s="26">
        <v>80</v>
      </c>
      <c r="C37" s="17">
        <v>0</v>
      </c>
      <c r="D37" s="17">
        <v>0</v>
      </c>
    </row>
    <row r="38" spans="1:4">
      <c r="A38" s="27" t="s">
        <v>443</v>
      </c>
      <c r="B38" s="28"/>
      <c r="C38" s="17">
        <v>0</v>
      </c>
      <c r="D38" s="17">
        <v>0</v>
      </c>
    </row>
    <row r="39" spans="1:4">
      <c r="A39" s="25" t="s">
        <v>444</v>
      </c>
      <c r="B39" s="26">
        <v>3975</v>
      </c>
      <c r="C39" s="17">
        <v>0</v>
      </c>
      <c r="D39" s="17">
        <v>0</v>
      </c>
    </row>
    <row r="40" spans="1:4">
      <c r="A40" s="25" t="s">
        <v>445</v>
      </c>
      <c r="B40" s="26">
        <v>3274</v>
      </c>
      <c r="C40" s="17">
        <v>0</v>
      </c>
      <c r="D40" s="17">
        <v>0</v>
      </c>
    </row>
    <row r="41" spans="1:4">
      <c r="A41" s="25" t="s">
        <v>446</v>
      </c>
      <c r="B41" s="26">
        <v>50999</v>
      </c>
      <c r="C41" s="17">
        <v>0</v>
      </c>
      <c r="D41" s="17">
        <v>0</v>
      </c>
    </row>
    <row r="42" spans="1:4">
      <c r="A42" s="25" t="s">
        <v>447</v>
      </c>
      <c r="B42" s="26">
        <v>3925</v>
      </c>
      <c r="C42" s="17">
        <v>0</v>
      </c>
      <c r="D42" s="17">
        <v>0</v>
      </c>
    </row>
    <row r="43" spans="1:4">
      <c r="A43" s="25" t="s">
        <v>448</v>
      </c>
      <c r="B43" s="26">
        <v>3000</v>
      </c>
      <c r="C43" s="17">
        <v>0</v>
      </c>
      <c r="D43" s="17">
        <v>0</v>
      </c>
    </row>
    <row r="44" spans="1:4">
      <c r="A44" s="25" t="s">
        <v>449</v>
      </c>
      <c r="B44" s="26">
        <v>2850</v>
      </c>
      <c r="C44" s="17">
        <v>0</v>
      </c>
      <c r="D44" s="17">
        <v>0</v>
      </c>
    </row>
    <row r="45" spans="1:4">
      <c r="A45" s="25" t="s">
        <v>450</v>
      </c>
      <c r="B45" s="26">
        <v>41875</v>
      </c>
      <c r="C45" s="17">
        <v>0</v>
      </c>
      <c r="D45" s="17">
        <v>0</v>
      </c>
    </row>
    <row r="46" customFormat="1" ht="15" spans="1:4">
      <c r="A46" s="25" t="s">
        <v>451</v>
      </c>
      <c r="B46" s="26">
        <v>26776</v>
      </c>
      <c r="C46" s="17">
        <v>0</v>
      </c>
      <c r="D46" s="17">
        <v>0</v>
      </c>
    </row>
    <row r="47" customFormat="1" ht="15" spans="1:4">
      <c r="A47" s="25" t="s">
        <v>452</v>
      </c>
      <c r="B47" s="26">
        <v>3150</v>
      </c>
      <c r="C47" s="17">
        <v>0</v>
      </c>
      <c r="D47" s="17">
        <v>0</v>
      </c>
    </row>
    <row r="48" customFormat="1" ht="15" spans="1:4">
      <c r="A48" s="25" t="s">
        <v>453</v>
      </c>
      <c r="B48" s="26">
        <v>10616</v>
      </c>
      <c r="C48" s="17">
        <v>0</v>
      </c>
      <c r="D48" s="17">
        <v>0</v>
      </c>
    </row>
    <row r="49" customFormat="1" ht="15" spans="1:4">
      <c r="A49" s="25" t="s">
        <v>454</v>
      </c>
      <c r="B49" s="26">
        <v>1100</v>
      </c>
      <c r="C49" s="17">
        <v>0</v>
      </c>
      <c r="D49" s="17">
        <v>0</v>
      </c>
    </row>
    <row r="50" customFormat="1" ht="15" spans="1:4">
      <c r="A50" s="25" t="s">
        <v>455</v>
      </c>
      <c r="B50" s="26">
        <v>405275</v>
      </c>
      <c r="C50" s="17">
        <v>0</v>
      </c>
      <c r="D50" s="17">
        <v>0</v>
      </c>
    </row>
    <row r="51" customFormat="1" ht="15" spans="1:4">
      <c r="A51" s="25" t="s">
        <v>456</v>
      </c>
      <c r="B51" s="26">
        <v>10950</v>
      </c>
      <c r="C51" s="17">
        <v>0</v>
      </c>
      <c r="D51" s="17">
        <v>0</v>
      </c>
    </row>
    <row r="52" ht="13.5" customHeight="1" spans="1:4">
      <c r="A52" s="25" t="s">
        <v>457</v>
      </c>
      <c r="B52" s="26">
        <v>3000</v>
      </c>
      <c r="C52" s="17">
        <v>0</v>
      </c>
      <c r="D52" s="17">
        <v>0</v>
      </c>
    </row>
    <row r="53" ht="13.5" customHeight="1" spans="1:4">
      <c r="A53" s="25" t="s">
        <v>458</v>
      </c>
      <c r="B53" s="26">
        <v>5200</v>
      </c>
      <c r="C53" s="17">
        <v>0</v>
      </c>
      <c r="D53" s="17">
        <v>0</v>
      </c>
    </row>
    <row r="54" customFormat="1" ht="15" spans="1:4">
      <c r="A54" s="27" t="s">
        <v>459</v>
      </c>
      <c r="B54" s="28"/>
      <c r="C54" s="17">
        <v>0</v>
      </c>
      <c r="D54" s="17">
        <v>0</v>
      </c>
    </row>
    <row r="55" customFormat="1" ht="15" spans="1:4">
      <c r="A55" s="25" t="s">
        <v>460</v>
      </c>
      <c r="B55" s="26">
        <v>8084</v>
      </c>
      <c r="C55" s="17">
        <v>0</v>
      </c>
      <c r="D55" s="17">
        <v>0</v>
      </c>
    </row>
    <row r="56" customFormat="1" ht="15" spans="1:4">
      <c r="A56" s="25" t="s">
        <v>461</v>
      </c>
      <c r="B56" s="26">
        <v>28</v>
      </c>
      <c r="C56" s="17">
        <v>0</v>
      </c>
      <c r="D56" s="17">
        <v>0</v>
      </c>
    </row>
    <row r="57" customFormat="1" ht="15" spans="1:4">
      <c r="A57" s="25" t="s">
        <v>462</v>
      </c>
      <c r="B57" s="26">
        <v>0</v>
      </c>
      <c r="C57" s="17">
        <v>0</v>
      </c>
      <c r="D57" s="17">
        <v>0</v>
      </c>
    </row>
    <row r="58" customFormat="1" ht="15" spans="1:4">
      <c r="A58" s="25" t="s">
        <v>463</v>
      </c>
      <c r="B58" s="26">
        <v>57402</v>
      </c>
      <c r="C58" s="17">
        <v>0</v>
      </c>
      <c r="D58" s="17">
        <v>0</v>
      </c>
    </row>
    <row r="59" customFormat="1" ht="15" spans="1:4">
      <c r="A59" s="25" t="s">
        <v>464</v>
      </c>
      <c r="B59" s="26">
        <v>1900</v>
      </c>
      <c r="C59" s="17">
        <v>0</v>
      </c>
      <c r="D59" s="17">
        <v>0</v>
      </c>
    </row>
    <row r="60" spans="1:4">
      <c r="A60" s="25" t="s">
        <v>465</v>
      </c>
      <c r="B60" s="26">
        <v>4000</v>
      </c>
      <c r="C60" s="17">
        <v>0</v>
      </c>
      <c r="D60" s="17">
        <v>0</v>
      </c>
    </row>
    <row r="61" spans="1:4">
      <c r="A61" s="25" t="s">
        <v>466</v>
      </c>
      <c r="B61" s="26">
        <v>6500</v>
      </c>
      <c r="C61" s="17">
        <v>0</v>
      </c>
      <c r="D61" s="17">
        <v>0</v>
      </c>
    </row>
    <row r="62" spans="1:4">
      <c r="A62" s="25" t="s">
        <v>467</v>
      </c>
      <c r="B62" s="26">
        <v>67885</v>
      </c>
      <c r="C62" s="17">
        <v>0</v>
      </c>
      <c r="D62" s="17">
        <v>0</v>
      </c>
    </row>
    <row r="63" spans="1:4">
      <c r="A63" s="25" t="s">
        <v>468</v>
      </c>
      <c r="B63" s="26">
        <v>1267</v>
      </c>
      <c r="C63" s="17">
        <v>0</v>
      </c>
      <c r="D63" s="17">
        <v>0</v>
      </c>
    </row>
    <row r="64" spans="1:4">
      <c r="A64" s="25" t="s">
        <v>469</v>
      </c>
      <c r="B64" s="26">
        <v>13500</v>
      </c>
      <c r="C64" s="17">
        <v>0</v>
      </c>
      <c r="D64" s="17">
        <v>0</v>
      </c>
    </row>
    <row r="65" spans="1:4">
      <c r="A65" s="25" t="s">
        <v>470</v>
      </c>
      <c r="B65" s="26">
        <v>123318</v>
      </c>
      <c r="C65" s="17">
        <v>0</v>
      </c>
      <c r="D65" s="17">
        <v>0</v>
      </c>
    </row>
    <row r="66" spans="1:4">
      <c r="A66" s="25" t="s">
        <v>471</v>
      </c>
      <c r="B66" s="26">
        <v>0</v>
      </c>
      <c r="C66" s="17">
        <v>0</v>
      </c>
      <c r="D66" s="17">
        <v>0</v>
      </c>
    </row>
    <row r="67" spans="1:4">
      <c r="A67" s="25" t="s">
        <v>472</v>
      </c>
      <c r="B67" s="26">
        <v>574119</v>
      </c>
      <c r="C67" s="17">
        <v>0</v>
      </c>
      <c r="D67" s="17">
        <v>0</v>
      </c>
    </row>
    <row r="68" spans="1:4">
      <c r="A68" s="27" t="s">
        <v>473</v>
      </c>
      <c r="B68" s="28"/>
      <c r="C68" s="17">
        <v>0</v>
      </c>
      <c r="D68" s="17">
        <v>0</v>
      </c>
    </row>
    <row r="69" spans="1:4">
      <c r="A69" s="25" t="s">
        <v>474</v>
      </c>
      <c r="B69" s="26">
        <v>4526</v>
      </c>
      <c r="C69" s="17">
        <v>0</v>
      </c>
      <c r="D69" s="17">
        <v>0</v>
      </c>
    </row>
    <row r="70" spans="1:4">
      <c r="A70" s="25" t="s">
        <v>475</v>
      </c>
      <c r="B70" s="26">
        <v>118539.6</v>
      </c>
      <c r="C70" s="17">
        <v>0</v>
      </c>
      <c r="D70" s="17">
        <v>0</v>
      </c>
    </row>
    <row r="71" spans="1:4">
      <c r="A71" s="25" t="s">
        <v>476</v>
      </c>
      <c r="B71" s="26">
        <v>270934.2</v>
      </c>
      <c r="C71" s="17">
        <v>0</v>
      </c>
      <c r="D71" s="17">
        <v>0</v>
      </c>
    </row>
    <row r="72" ht="13.5" customHeight="1" spans="1:4">
      <c r="A72" s="25" t="s">
        <v>477</v>
      </c>
      <c r="B72" s="26">
        <v>23340</v>
      </c>
      <c r="C72" s="17">
        <v>0</v>
      </c>
      <c r="D72" s="17">
        <v>0</v>
      </c>
    </row>
    <row r="73" ht="13.5" customHeight="1" spans="1:4">
      <c r="A73" s="25" t="s">
        <v>478</v>
      </c>
      <c r="B73" s="26">
        <v>193318.2</v>
      </c>
      <c r="C73" s="17">
        <v>0</v>
      </c>
      <c r="D73" s="17">
        <v>0</v>
      </c>
    </row>
    <row r="74" ht="13.5" customHeight="1" spans="1:4">
      <c r="A74" s="25" t="s">
        <v>479</v>
      </c>
      <c r="B74" s="26">
        <v>157256</v>
      </c>
      <c r="C74" s="17">
        <v>0</v>
      </c>
      <c r="D74" s="17">
        <v>0</v>
      </c>
    </row>
    <row r="75" ht="13.5" customHeight="1" spans="1:4">
      <c r="A75" s="27" t="s">
        <v>480</v>
      </c>
      <c r="B75" s="26"/>
      <c r="C75" s="17">
        <v>0</v>
      </c>
      <c r="D75" s="17">
        <v>0</v>
      </c>
    </row>
    <row r="76" ht="13.5" customHeight="1" spans="1:4">
      <c r="A76" s="25" t="s">
        <v>481</v>
      </c>
      <c r="B76" s="26">
        <v>0</v>
      </c>
      <c r="C76" s="17">
        <v>0</v>
      </c>
      <c r="D76" s="17">
        <v>0</v>
      </c>
    </row>
    <row r="77" ht="13.5" customHeight="1" spans="1:4">
      <c r="A77" s="25" t="s">
        <v>482</v>
      </c>
      <c r="B77" s="26">
        <v>0</v>
      </c>
      <c r="C77" s="17">
        <v>0</v>
      </c>
      <c r="D77" s="17">
        <v>0</v>
      </c>
    </row>
    <row r="78" ht="13.5" customHeight="1" spans="1:4">
      <c r="A78" s="25" t="s">
        <v>483</v>
      </c>
      <c r="B78" s="26">
        <v>0</v>
      </c>
      <c r="C78" s="17">
        <v>0</v>
      </c>
      <c r="D78" s="17">
        <v>0</v>
      </c>
    </row>
    <row r="79" ht="13.5" customHeight="1" spans="1:4">
      <c r="A79" s="25" t="s">
        <v>484</v>
      </c>
      <c r="B79" s="26">
        <v>0</v>
      </c>
      <c r="C79" s="17">
        <v>0</v>
      </c>
      <c r="D79" s="17">
        <v>0</v>
      </c>
    </row>
    <row r="80" ht="13.5" customHeight="1" spans="1:4">
      <c r="A80" s="25" t="s">
        <v>485</v>
      </c>
      <c r="B80" s="26">
        <v>0</v>
      </c>
      <c r="C80" s="17">
        <v>0</v>
      </c>
      <c r="D80" s="17">
        <v>0</v>
      </c>
    </row>
    <row r="81" ht="13.5" customHeight="1" spans="1:4">
      <c r="A81" s="25" t="s">
        <v>486</v>
      </c>
      <c r="B81" s="26">
        <v>0</v>
      </c>
      <c r="C81" s="17">
        <v>0</v>
      </c>
      <c r="D81" s="17">
        <v>0</v>
      </c>
    </row>
    <row r="82" ht="13.5" customHeight="1" spans="1:4">
      <c r="A82" s="25" t="s">
        <v>487</v>
      </c>
      <c r="B82" s="26">
        <v>0</v>
      </c>
      <c r="C82" s="17">
        <v>0</v>
      </c>
      <c r="D82" s="17">
        <v>0</v>
      </c>
    </row>
    <row r="83" ht="13.5" customHeight="1" spans="1:4">
      <c r="A83" s="25" t="s">
        <v>488</v>
      </c>
      <c r="B83" s="26">
        <v>0</v>
      </c>
      <c r="C83" s="17">
        <v>0</v>
      </c>
      <c r="D83" s="17">
        <v>0</v>
      </c>
    </row>
    <row r="84" ht="13.5" customHeight="1" spans="1:4">
      <c r="A84" s="25" t="s">
        <v>489</v>
      </c>
      <c r="B84" s="26">
        <v>0</v>
      </c>
      <c r="C84" s="17">
        <v>0</v>
      </c>
      <c r="D84" s="17">
        <v>0</v>
      </c>
    </row>
    <row r="85" ht="13.5" customHeight="1" spans="1:4">
      <c r="A85" s="25" t="s">
        <v>490</v>
      </c>
      <c r="B85" s="26">
        <v>0</v>
      </c>
      <c r="C85" s="17">
        <v>0</v>
      </c>
      <c r="D85" s="17">
        <v>0</v>
      </c>
    </row>
    <row r="86" ht="13.5" customHeight="1" spans="1:4">
      <c r="A86" s="27" t="s">
        <v>491</v>
      </c>
      <c r="B86" s="28"/>
      <c r="D86" s="17">
        <v>0</v>
      </c>
    </row>
    <row r="87" ht="13.5" customHeight="1" spans="1:4">
      <c r="A87" s="25" t="s">
        <v>492</v>
      </c>
      <c r="B87" s="26">
        <v>18736</v>
      </c>
      <c r="C87" s="17">
        <v>0</v>
      </c>
      <c r="D87" s="17">
        <v>0</v>
      </c>
    </row>
    <row r="88" ht="13.5" customHeight="1" spans="1:4">
      <c r="A88" s="25" t="s">
        <v>493</v>
      </c>
      <c r="B88" s="26">
        <v>5000</v>
      </c>
      <c r="C88" s="17">
        <v>0</v>
      </c>
      <c r="D88" s="17">
        <v>0</v>
      </c>
    </row>
    <row r="89" s="16" customFormat="1" ht="13.5" customHeight="1" spans="1:243">
      <c r="A89" s="25" t="s">
        <v>494</v>
      </c>
      <c r="B89" s="26">
        <v>451000</v>
      </c>
      <c r="C89" s="17">
        <v>0</v>
      </c>
      <c r="D89" s="17">
        <v>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</row>
    <row r="90" s="16" customFormat="1" spans="1:243">
      <c r="A90" s="25" t="s">
        <v>495</v>
      </c>
      <c r="B90" s="26">
        <v>20000</v>
      </c>
      <c r="C90" s="17">
        <v>0</v>
      </c>
      <c r="D90" s="17">
        <v>0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</row>
    <row r="91" s="16" customFormat="1" spans="1:243">
      <c r="A91" s="25" t="s">
        <v>496</v>
      </c>
      <c r="B91" s="26">
        <v>1296</v>
      </c>
      <c r="C91" s="17">
        <v>0</v>
      </c>
      <c r="D91" s="17"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</row>
    <row r="92" s="16" customFormat="1" spans="1:243">
      <c r="A92" s="25" t="s">
        <v>497</v>
      </c>
      <c r="B92" s="26">
        <v>122658</v>
      </c>
      <c r="C92" s="17">
        <v>0</v>
      </c>
      <c r="D92" s="17">
        <v>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</row>
    <row r="93" s="16" customFormat="1" spans="1:243">
      <c r="A93" s="25" t="s">
        <v>498</v>
      </c>
      <c r="B93" s="26">
        <v>150751</v>
      </c>
      <c r="C93" s="17">
        <v>0</v>
      </c>
      <c r="D93" s="17">
        <v>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</row>
    <row r="94" spans="1:4">
      <c r="A94" s="25" t="s">
        <v>499</v>
      </c>
      <c r="B94" s="26">
        <v>5016</v>
      </c>
      <c r="C94" s="17">
        <v>0</v>
      </c>
      <c r="D94" s="17">
        <v>0</v>
      </c>
    </row>
    <row r="95" spans="1:4">
      <c r="A95" s="25" t="s">
        <v>500</v>
      </c>
      <c r="B95" s="26">
        <v>107960</v>
      </c>
      <c r="C95" s="17">
        <v>0</v>
      </c>
      <c r="D95" s="17">
        <v>0</v>
      </c>
    </row>
    <row r="96" spans="1:4">
      <c r="A96" s="25" t="s">
        <v>501</v>
      </c>
      <c r="B96" s="26">
        <v>20296</v>
      </c>
      <c r="C96" s="17">
        <v>0</v>
      </c>
      <c r="D96" s="17">
        <v>0</v>
      </c>
    </row>
    <row r="97" spans="1:4">
      <c r="A97" s="25" t="s">
        <v>502</v>
      </c>
      <c r="B97" s="26">
        <v>104751</v>
      </c>
      <c r="C97" s="17">
        <v>0</v>
      </c>
      <c r="D97" s="17">
        <v>0</v>
      </c>
    </row>
    <row r="98" spans="1:4">
      <c r="A98" s="25" t="s">
        <v>503</v>
      </c>
      <c r="B98" s="26">
        <v>3000</v>
      </c>
      <c r="C98" s="17">
        <v>0</v>
      </c>
      <c r="D98" s="17">
        <v>0</v>
      </c>
    </row>
    <row r="99" spans="1:4">
      <c r="A99" s="25" t="s">
        <v>504</v>
      </c>
      <c r="B99" s="26">
        <v>2454.4</v>
      </c>
      <c r="C99" s="17">
        <v>0</v>
      </c>
      <c r="D99" s="17">
        <v>0</v>
      </c>
    </row>
    <row r="100" spans="1:4">
      <c r="A100" s="25" t="s">
        <v>505</v>
      </c>
      <c r="B100" s="26">
        <v>0</v>
      </c>
      <c r="C100" s="17">
        <v>0</v>
      </c>
      <c r="D100" s="17">
        <v>0</v>
      </c>
    </row>
    <row r="101" spans="1:4">
      <c r="A101" s="25" t="s">
        <v>506</v>
      </c>
      <c r="B101" s="26">
        <v>8142</v>
      </c>
      <c r="C101" s="17">
        <v>0</v>
      </c>
      <c r="D101" s="17">
        <v>0</v>
      </c>
    </row>
    <row r="102" spans="1:4">
      <c r="A102" s="25" t="s">
        <v>507</v>
      </c>
      <c r="B102" s="26">
        <v>7670</v>
      </c>
      <c r="C102" s="17">
        <v>0</v>
      </c>
      <c r="D102" s="17">
        <v>0</v>
      </c>
    </row>
    <row r="103" spans="1:4">
      <c r="A103" s="25" t="s">
        <v>508</v>
      </c>
      <c r="B103" s="26">
        <v>329693.66</v>
      </c>
      <c r="C103" s="17">
        <v>0</v>
      </c>
      <c r="D103" s="17">
        <v>0</v>
      </c>
    </row>
    <row r="104" spans="1:4">
      <c r="A104" s="25" t="s">
        <v>509</v>
      </c>
      <c r="B104" s="26">
        <v>25284</v>
      </c>
      <c r="C104" s="17">
        <v>0</v>
      </c>
      <c r="D104" s="17">
        <v>0</v>
      </c>
    </row>
    <row r="105" spans="1:4">
      <c r="A105" s="25" t="s">
        <v>510</v>
      </c>
      <c r="B105" s="26">
        <v>42000</v>
      </c>
      <c r="C105" s="17">
        <v>0</v>
      </c>
      <c r="D105" s="17">
        <v>0</v>
      </c>
    </row>
    <row r="106" spans="1:4">
      <c r="A106" s="25" t="s">
        <v>511</v>
      </c>
      <c r="B106" s="26">
        <v>14800</v>
      </c>
      <c r="C106" s="17">
        <v>0</v>
      </c>
      <c r="D106" s="17">
        <v>0</v>
      </c>
    </row>
    <row r="107" spans="1:4">
      <c r="A107" s="25" t="s">
        <v>512</v>
      </c>
      <c r="B107" s="26">
        <v>9440</v>
      </c>
      <c r="C107" s="17">
        <v>0</v>
      </c>
      <c r="D107" s="17">
        <v>0</v>
      </c>
    </row>
    <row r="108" spans="1:4">
      <c r="A108" s="25" t="s">
        <v>513</v>
      </c>
      <c r="B108" s="26"/>
      <c r="C108" s="17">
        <v>0</v>
      </c>
      <c r="D108" s="17">
        <v>0</v>
      </c>
    </row>
    <row r="109" spans="1:4">
      <c r="A109" s="25" t="s">
        <v>514</v>
      </c>
      <c r="B109" s="29">
        <v>2301</v>
      </c>
      <c r="C109" s="17">
        <v>0</v>
      </c>
      <c r="D109" s="17">
        <v>0</v>
      </c>
    </row>
    <row r="110" ht="13.5" spans="1:4">
      <c r="A110" s="30" t="s">
        <v>515</v>
      </c>
      <c r="B110" s="31">
        <f>SUM(B4:B109)</f>
        <v>7899344.36</v>
      </c>
      <c r="C110" s="31">
        <f>C3</f>
        <v>40942983.67</v>
      </c>
      <c r="D110" s="31">
        <f>D3</f>
        <v>5334109.88</v>
      </c>
    </row>
    <row r="112" spans="1:1">
      <c r="A112" s="27" t="s">
        <v>280</v>
      </c>
    </row>
    <row r="113" spans="1:4">
      <c r="A113" s="25" t="s">
        <v>516</v>
      </c>
      <c r="B113" s="32">
        <v>277835</v>
      </c>
      <c r="C113" s="17">
        <v>0</v>
      </c>
      <c r="D113" s="17">
        <v>0</v>
      </c>
    </row>
    <row r="114" spans="1:4">
      <c r="A114" s="25" t="s">
        <v>517</v>
      </c>
      <c r="B114" s="32">
        <v>10000</v>
      </c>
      <c r="C114" s="17">
        <v>0</v>
      </c>
      <c r="D114" s="17">
        <v>0</v>
      </c>
    </row>
    <row r="115" spans="1:4">
      <c r="A115" s="25" t="s">
        <v>518</v>
      </c>
      <c r="B115" s="32">
        <v>15407925</v>
      </c>
      <c r="C115" s="17">
        <v>0</v>
      </c>
      <c r="D115" s="17">
        <v>0</v>
      </c>
    </row>
    <row r="116" spans="1:4">
      <c r="A116" s="25" t="s">
        <v>519</v>
      </c>
      <c r="B116" s="32">
        <v>300000</v>
      </c>
      <c r="C116" s="17">
        <v>0</v>
      </c>
      <c r="D116" s="17">
        <v>0</v>
      </c>
    </row>
    <row r="117" spans="1:4">
      <c r="A117" s="25" t="s">
        <v>520</v>
      </c>
      <c r="B117" s="32">
        <v>696960</v>
      </c>
      <c r="C117" s="17">
        <v>0</v>
      </c>
      <c r="D117" s="17">
        <v>0</v>
      </c>
    </row>
    <row r="118" spans="1:4">
      <c r="A118" s="25" t="s">
        <v>521</v>
      </c>
      <c r="B118" s="29">
        <v>595000</v>
      </c>
      <c r="C118" s="17">
        <v>0</v>
      </c>
      <c r="D118" s="17">
        <v>0</v>
      </c>
    </row>
    <row r="119" ht="13.5" spans="1:4">
      <c r="A119" s="30" t="s">
        <v>522</v>
      </c>
      <c r="B119" s="31">
        <f>SUM(B113:B118)</f>
        <v>17287720</v>
      </c>
      <c r="C119" s="31">
        <f>SUM(C113:C118)</f>
        <v>0</v>
      </c>
      <c r="D119" s="17">
        <v>0</v>
      </c>
    </row>
    <row r="121" spans="1:1">
      <c r="A121" s="27" t="s">
        <v>523</v>
      </c>
    </row>
    <row r="122" spans="1:4">
      <c r="A122" s="25" t="s">
        <v>524</v>
      </c>
      <c r="B122" s="32">
        <v>1712590.3</v>
      </c>
      <c r="C122" s="17">
        <v>0</v>
      </c>
      <c r="D122" s="17">
        <v>0</v>
      </c>
    </row>
    <row r="123" ht="13.5" spans="1:4">
      <c r="A123" s="30" t="s">
        <v>525</v>
      </c>
      <c r="B123" s="31">
        <f>SUM(B122)</f>
        <v>1712590.3</v>
      </c>
      <c r="C123" s="31">
        <f>SUM(C122)</f>
        <v>0</v>
      </c>
      <c r="D123" s="17">
        <v>0</v>
      </c>
    </row>
    <row r="125" spans="2:4">
      <c r="B125" s="17">
        <f>B110+B119+B123</f>
        <v>26899654.66</v>
      </c>
      <c r="C125" s="17">
        <f>C110+C119+C123</f>
        <v>40942983.67</v>
      </c>
      <c r="D125" s="17">
        <f>D110+D119+D123</f>
        <v>5334109.88</v>
      </c>
    </row>
  </sheetData>
  <sortState ref="A26:B34">
    <sortCondition ref="A26:A34"/>
  </sortState>
  <printOptions gridLines="1"/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2"/>
  <sheetViews>
    <sheetView tabSelected="1" workbookViewId="0">
      <selection activeCell="I16" sqref="I16"/>
    </sheetView>
  </sheetViews>
  <sheetFormatPr defaultColWidth="9.14285714285714" defaultRowHeight="12.75"/>
  <cols>
    <col min="1" max="1" width="25.1428571428571" style="3" customWidth="1"/>
    <col min="2" max="2" width="15.7142857142857" style="2" customWidth="1"/>
    <col min="3" max="248" width="9.14285714285714" style="3"/>
    <col min="249" max="16384" width="9.14285714285714" style="4"/>
  </cols>
  <sheetData>
    <row r="1" spans="1:2">
      <c r="A1" s="5" t="s">
        <v>273</v>
      </c>
      <c r="B1" s="6" t="s">
        <v>347</v>
      </c>
    </row>
    <row r="2" spans="1:248">
      <c r="A2" s="4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spans="1:2">
      <c r="A3" s="8" t="s">
        <v>287</v>
      </c>
      <c r="B3" s="9"/>
    </row>
    <row r="4" spans="1:2">
      <c r="A4" s="10" t="s">
        <v>526</v>
      </c>
      <c r="B4" s="11">
        <v>1650000</v>
      </c>
    </row>
    <row r="5" spans="1:2">
      <c r="A5" s="10" t="s">
        <v>527</v>
      </c>
      <c r="B5" s="11">
        <v>1700000</v>
      </c>
    </row>
    <row r="6" spans="1:2">
      <c r="A6" s="10" t="s">
        <v>528</v>
      </c>
      <c r="B6" s="11">
        <v>1650000</v>
      </c>
    </row>
    <row r="7" spans="1:2">
      <c r="A7" s="10" t="s">
        <v>529</v>
      </c>
      <c r="B7" s="11">
        <v>1700000</v>
      </c>
    </row>
    <row r="8" spans="1:2">
      <c r="A8" s="10" t="s">
        <v>530</v>
      </c>
      <c r="B8" s="11">
        <v>1650000</v>
      </c>
    </row>
    <row r="9" spans="1:2">
      <c r="A9" s="10" t="s">
        <v>531</v>
      </c>
      <c r="B9" s="12">
        <v>1650000</v>
      </c>
    </row>
    <row r="10" s="1" customFormat="1" ht="13.5" spans="1:248">
      <c r="A10" s="13" t="s">
        <v>532</v>
      </c>
      <c r="B10" s="14">
        <f>SUM(B4:B9)</f>
        <v>10000000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</row>
    <row r="11" s="2" customFormat="1" ht="13.5" spans="1:248">
      <c r="A11" s="10"/>
      <c r="B11" s="1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</row>
    <row r="12" s="2" customFormat="1" spans="1:248">
      <c r="A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</row>
  </sheetData>
  <printOptions gridLines="1"/>
  <pageMargins left="0.7" right="0.7" top="0.75" bottom="0.75" header="0.3" footer="0.3"/>
  <pageSetup paperSize="9" scale="90" orientation="portrait"/>
  <headerFooter>
    <oddHeader>&amp;C&amp;F
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G25" sqref="G25"/>
    </sheetView>
  </sheetViews>
  <sheetFormatPr defaultColWidth="9.14285714285714" defaultRowHeight="15"/>
  <cols>
    <col min="1" max="1" width="5.71428571428571" style="18" customWidth="1"/>
    <col min="2" max="2" width="41.2857142857143" style="18" customWidth="1"/>
    <col min="3" max="6" width="13.7142857142857" style="22" customWidth="1"/>
    <col min="7" max="7" width="13.7142857142857" style="182" customWidth="1"/>
    <col min="8" max="8" width="13.7142857142857" style="22" customWidth="1"/>
    <col min="9" max="9" width="9.14285714285714" style="18"/>
    <col min="10" max="10" width="10.8571428571429" style="18"/>
    <col min="11" max="256" width="9.14285714285714" style="18"/>
  </cols>
  <sheetData>
    <row r="1" spans="1:9">
      <c r="A1" s="98" t="s">
        <v>0</v>
      </c>
      <c r="C1" s="18" t="s">
        <v>1</v>
      </c>
      <c r="D1" s="18"/>
      <c r="E1" s="98" t="s">
        <v>2</v>
      </c>
      <c r="F1" s="18"/>
      <c r="G1" s="18" t="s">
        <v>3</v>
      </c>
      <c r="H1" s="99"/>
      <c r="I1" s="99"/>
    </row>
    <row r="2" spans="1:9">
      <c r="A2" s="98" t="s">
        <v>4</v>
      </c>
      <c r="C2" s="18" t="s">
        <v>5</v>
      </c>
      <c r="D2" s="18"/>
      <c r="E2" s="98" t="s">
        <v>6</v>
      </c>
      <c r="F2" s="18"/>
      <c r="G2" s="100">
        <v>44422</v>
      </c>
      <c r="H2" s="99"/>
      <c r="I2" s="99"/>
    </row>
    <row r="3" spans="1:9">
      <c r="A3" s="98" t="s">
        <v>7</v>
      </c>
      <c r="C3" s="18"/>
      <c r="D3" s="18"/>
      <c r="E3" s="98" t="s">
        <v>8</v>
      </c>
      <c r="F3" s="18"/>
      <c r="G3" s="18" t="s">
        <v>9</v>
      </c>
      <c r="H3" s="99"/>
      <c r="I3" s="99"/>
    </row>
    <row r="4" spans="8:8">
      <c r="H4" s="22" t="s">
        <v>54</v>
      </c>
    </row>
    <row r="5" s="181" customFormat="1" ht="51" spans="1:8">
      <c r="A5" s="183" t="s">
        <v>10</v>
      </c>
      <c r="B5" s="183" t="s">
        <v>11</v>
      </c>
      <c r="C5" s="102" t="s">
        <v>55</v>
      </c>
      <c r="D5" s="102" t="s">
        <v>56</v>
      </c>
      <c r="E5" s="102" t="s">
        <v>57</v>
      </c>
      <c r="F5" s="102" t="s">
        <v>58</v>
      </c>
      <c r="G5" s="102" t="s">
        <v>59</v>
      </c>
      <c r="H5" s="121"/>
    </row>
    <row r="6" spans="1:7">
      <c r="A6" s="161" t="s">
        <v>60</v>
      </c>
      <c r="B6" s="18" t="s">
        <v>61</v>
      </c>
      <c r="C6" s="22">
        <f>WIP!B123</f>
        <v>1712590.3</v>
      </c>
      <c r="D6" s="22">
        <f>WIP!B122</f>
        <v>1712590.3</v>
      </c>
      <c r="E6" s="22">
        <f>WIP!C123</f>
        <v>0</v>
      </c>
      <c r="F6" s="182">
        <f>D6+E6</f>
        <v>1712590.3</v>
      </c>
      <c r="G6" s="182">
        <f>C6-D6</f>
        <v>0</v>
      </c>
    </row>
    <row r="7" spans="1:7">
      <c r="A7" s="161" t="s">
        <v>62</v>
      </c>
      <c r="B7" s="18" t="s">
        <v>63</v>
      </c>
      <c r="C7" s="22">
        <v>17287720</v>
      </c>
      <c r="D7" s="112">
        <f>WIP!B119</f>
        <v>17287720</v>
      </c>
      <c r="E7" s="112">
        <f>WIP!C119</f>
        <v>0</v>
      </c>
      <c r="F7" s="182">
        <f>D7+E7</f>
        <v>17287720</v>
      </c>
      <c r="G7" s="182">
        <f>C7-F7</f>
        <v>0</v>
      </c>
    </row>
    <row r="8" spans="1:7">
      <c r="A8" s="161" t="s">
        <v>64</v>
      </c>
      <c r="B8" s="18" t="s">
        <v>65</v>
      </c>
      <c r="C8" s="22">
        <f>F29</f>
        <v>355062200</v>
      </c>
      <c r="D8" s="182">
        <f>WIP!B110</f>
        <v>7899344.36</v>
      </c>
      <c r="E8" s="22">
        <f>WIP!C110</f>
        <v>40942983.67</v>
      </c>
      <c r="F8" s="22">
        <f t="shared" ref="F8:F16" si="0">SUM(D8:E8)</f>
        <v>48842328.03</v>
      </c>
      <c r="G8" s="182">
        <f>C8-F8</f>
        <v>306219871.97</v>
      </c>
    </row>
    <row r="9" spans="1:7">
      <c r="A9" s="161" t="s">
        <v>66</v>
      </c>
      <c r="B9" s="18" t="s">
        <v>67</v>
      </c>
      <c r="C9" s="22">
        <f>D29*100</f>
        <v>29440200</v>
      </c>
      <c r="D9" s="112">
        <f>'Oth Admin Expsns'!B66</f>
        <v>5570349.76</v>
      </c>
      <c r="E9" s="112">
        <f>'Oth Admin Expsns'!C66+'Oth Admin Expsns'!D66</f>
        <v>7044304.26</v>
      </c>
      <c r="F9" s="22">
        <f t="shared" si="0"/>
        <v>12614654.02</v>
      </c>
      <c r="G9" s="182">
        <f>C9-F9</f>
        <v>16825545.98</v>
      </c>
    </row>
    <row r="10" spans="1:7">
      <c r="A10" s="161" t="s">
        <v>68</v>
      </c>
      <c r="B10" s="18" t="s">
        <v>69</v>
      </c>
      <c r="C10" s="22">
        <f>'Project Estimate'!B3*50</f>
        <v>6625000</v>
      </c>
      <c r="D10" s="112">
        <f>'Oth Admin Expsns'!B8</f>
        <v>1159949</v>
      </c>
      <c r="E10" s="22">
        <f>'Oth Admin Expsns'!C8+'Oth Admin Expsns'!D8</f>
        <v>2483459.74</v>
      </c>
      <c r="F10" s="22">
        <f t="shared" si="0"/>
        <v>3643408.74</v>
      </c>
      <c r="G10" s="182">
        <f>C10-F10</f>
        <v>2981591.26</v>
      </c>
    </row>
    <row r="11" spans="1:7">
      <c r="A11" s="184" t="s">
        <v>70</v>
      </c>
      <c r="B11" s="108" t="s">
        <v>71</v>
      </c>
      <c r="C11" s="110">
        <f>SUM(C6:C10)</f>
        <v>410127710.3</v>
      </c>
      <c r="D11" s="110">
        <f>SUM(D6:D10)</f>
        <v>33629953.42</v>
      </c>
      <c r="E11" s="110">
        <f>SUM(E6:E10)</f>
        <v>50470747.67</v>
      </c>
      <c r="F11" s="110">
        <f t="shared" si="0"/>
        <v>84100701.09</v>
      </c>
      <c r="G11" s="182">
        <f>SUM(G6:G10)</f>
        <v>326027009.21</v>
      </c>
    </row>
    <row r="12" spans="1:7">
      <c r="A12" s="161" t="s">
        <v>72</v>
      </c>
      <c r="B12" s="18" t="s">
        <v>73</v>
      </c>
      <c r="C12" s="22">
        <f>F23</f>
        <v>474956360</v>
      </c>
      <c r="D12" s="182">
        <v>50031000</v>
      </c>
      <c r="E12" s="182">
        <v>40509000</v>
      </c>
      <c r="F12" s="22">
        <f t="shared" si="0"/>
        <v>90540000</v>
      </c>
      <c r="G12" s="182">
        <f>C12-F12</f>
        <v>384416360</v>
      </c>
    </row>
    <row r="13" spans="1:6">
      <c r="A13" s="161" t="s">
        <v>74</v>
      </c>
      <c r="B13" s="18" t="s">
        <v>75</v>
      </c>
      <c r="D13" s="22">
        <f>'Financial Summary'!F23</f>
        <v>39860887</v>
      </c>
      <c r="E13" s="182">
        <v>0</v>
      </c>
      <c r="F13" s="22">
        <f t="shared" si="0"/>
        <v>39860887</v>
      </c>
    </row>
    <row r="14" spans="1:10">
      <c r="A14" s="161" t="s">
        <v>76</v>
      </c>
      <c r="B14" s="18" t="s">
        <v>77</v>
      </c>
      <c r="D14" s="22">
        <f>'Financial Summary'!C7</f>
        <v>6820267</v>
      </c>
      <c r="E14" s="182"/>
      <c r="F14" s="22">
        <f t="shared" si="0"/>
        <v>6820267</v>
      </c>
      <c r="J14" s="115"/>
    </row>
    <row r="15" spans="1:6">
      <c r="A15" s="161" t="s">
        <v>78</v>
      </c>
      <c r="B15" s="18" t="s">
        <v>79</v>
      </c>
      <c r="C15" s="22">
        <f>C12-C6-C7-C8</f>
        <v>100893849.7</v>
      </c>
      <c r="D15" s="22">
        <f>D12-D6-D7-D8</f>
        <v>23131345.34</v>
      </c>
      <c r="E15" s="182"/>
      <c r="F15" s="22">
        <f t="shared" si="0"/>
        <v>23131345.34</v>
      </c>
    </row>
    <row r="16" spans="1:6">
      <c r="A16" s="161" t="s">
        <v>80</v>
      </c>
      <c r="B16" s="18" t="s">
        <v>81</v>
      </c>
      <c r="C16" s="22">
        <f>C12-C11</f>
        <v>64828649.7</v>
      </c>
      <c r="D16" s="22">
        <f>D12-D11</f>
        <v>16401046.58</v>
      </c>
      <c r="E16" s="182"/>
      <c r="F16" s="22">
        <f t="shared" si="0"/>
        <v>16401046.58</v>
      </c>
    </row>
    <row r="17" spans="1:6">
      <c r="A17" s="161" t="s">
        <v>82</v>
      </c>
      <c r="B17" s="18" t="s">
        <v>83</v>
      </c>
      <c r="C17" s="22">
        <f>C15/C12*100</f>
        <v>21.2427621139761</v>
      </c>
      <c r="E17" s="182"/>
      <c r="F17" s="22">
        <f>F15/F12*100</f>
        <v>25.5482055886901</v>
      </c>
    </row>
    <row r="18" spans="1:6">
      <c r="A18" s="161" t="s">
        <v>84</v>
      </c>
      <c r="B18" s="18" t="s">
        <v>85</v>
      </c>
      <c r="C18" s="22">
        <f>C16/C12*100</f>
        <v>13.6493907987673</v>
      </c>
      <c r="E18" s="182"/>
      <c r="F18" s="22">
        <f>F16/F12*100</f>
        <v>18.1146969074442</v>
      </c>
    </row>
    <row r="19" spans="1:1">
      <c r="A19" s="161"/>
    </row>
    <row r="20" s="21" customFormat="1" ht="25.5" spans="1:8">
      <c r="A20" s="185"/>
      <c r="B20" s="186" t="s">
        <v>86</v>
      </c>
      <c r="C20" s="187" t="s">
        <v>87</v>
      </c>
      <c r="D20" s="187" t="s">
        <v>88</v>
      </c>
      <c r="E20" s="187" t="s">
        <v>89</v>
      </c>
      <c r="F20" s="187" t="s">
        <v>90</v>
      </c>
      <c r="G20" s="188" t="s">
        <v>91</v>
      </c>
      <c r="H20" s="187"/>
    </row>
    <row r="21" spans="1:6">
      <c r="A21" s="161" t="s">
        <v>60</v>
      </c>
      <c r="B21" s="18" t="s">
        <v>92</v>
      </c>
      <c r="C21" s="22">
        <v>26</v>
      </c>
      <c r="D21" s="22">
        <f>'RERA sold units details'!C34</f>
        <v>44290</v>
      </c>
      <c r="E21" s="22">
        <f>F21/D21</f>
        <v>3653.4400541883</v>
      </c>
      <c r="F21" s="22">
        <f>'RERA sold units details'!G34</f>
        <v>161810860</v>
      </c>
    </row>
    <row r="22" spans="1:6">
      <c r="A22" s="161" t="s">
        <v>62</v>
      </c>
      <c r="B22" s="18" t="s">
        <v>93</v>
      </c>
      <c r="C22" s="22">
        <v>50</v>
      </c>
      <c r="D22" s="22">
        <v>88210</v>
      </c>
      <c r="E22" s="22">
        <v>3550</v>
      </c>
      <c r="F22" s="22">
        <f>D22*E22</f>
        <v>313145500</v>
      </c>
    </row>
    <row r="23" spans="1:8">
      <c r="A23" s="184"/>
      <c r="B23" s="108" t="s">
        <v>94</v>
      </c>
      <c r="C23" s="110">
        <v>76</v>
      </c>
      <c r="D23" s="110">
        <f>SUM(D21:D22)</f>
        <v>132500</v>
      </c>
      <c r="E23" s="110"/>
      <c r="F23" s="110">
        <f>SUM(F21:F22)</f>
        <v>474956360</v>
      </c>
      <c r="G23" s="189"/>
      <c r="H23" s="110"/>
    </row>
    <row r="24" spans="1:1">
      <c r="A24" s="161"/>
    </row>
    <row r="25" spans="1:8">
      <c r="A25" s="185"/>
      <c r="B25" s="108" t="s">
        <v>65</v>
      </c>
      <c r="C25" s="187" t="s">
        <v>87</v>
      </c>
      <c r="D25" s="187" t="s">
        <v>88</v>
      </c>
      <c r="E25" s="187" t="s">
        <v>89</v>
      </c>
      <c r="F25" s="187" t="s">
        <v>95</v>
      </c>
      <c r="G25" s="188" t="s">
        <v>91</v>
      </c>
      <c r="H25" s="187"/>
    </row>
    <row r="26" spans="1:6">
      <c r="A26" s="161" t="s">
        <v>60</v>
      </c>
      <c r="B26" s="18" t="s">
        <v>96</v>
      </c>
      <c r="C26" s="22">
        <v>0</v>
      </c>
      <c r="D26" s="22">
        <v>207060</v>
      </c>
      <c r="E26" s="22">
        <v>1300</v>
      </c>
      <c r="F26" s="22">
        <f t="shared" ref="F22:F28" si="1">D26*E26</f>
        <v>269178000</v>
      </c>
    </row>
    <row r="27" spans="1:6">
      <c r="A27" s="161" t="s">
        <v>62</v>
      </c>
      <c r="B27" s="18" t="s">
        <v>97</v>
      </c>
      <c r="D27" s="22">
        <v>77924</v>
      </c>
      <c r="E27" s="22">
        <v>800</v>
      </c>
      <c r="F27" s="22">
        <f t="shared" si="1"/>
        <v>62339200</v>
      </c>
    </row>
    <row r="28" spans="1:6">
      <c r="A28" s="161" t="s">
        <v>64</v>
      </c>
      <c r="B28" s="18" t="s">
        <v>98</v>
      </c>
      <c r="D28" s="22">
        <v>9418</v>
      </c>
      <c r="E28" s="22">
        <v>2500</v>
      </c>
      <c r="F28" s="22">
        <f t="shared" si="1"/>
        <v>23545000</v>
      </c>
    </row>
    <row r="29" spans="1:8">
      <c r="A29" s="184"/>
      <c r="B29" s="108" t="s">
        <v>94</v>
      </c>
      <c r="C29" s="110">
        <f>SUM(C26:C28)</f>
        <v>0</v>
      </c>
      <c r="D29" s="110">
        <f>SUM(D26:D28)</f>
        <v>294402</v>
      </c>
      <c r="E29" s="110">
        <f>SUM(E26:E28)</f>
        <v>4600</v>
      </c>
      <c r="F29" s="110">
        <f>SUM(F26:F28)</f>
        <v>355062200</v>
      </c>
      <c r="G29" s="189"/>
      <c r="H29" s="110"/>
    </row>
    <row r="30" spans="1:1">
      <c r="A30" s="161" t="s">
        <v>99</v>
      </c>
    </row>
    <row r="31" spans="1:2">
      <c r="A31" s="161">
        <v>1</v>
      </c>
      <c r="B31" s="18" t="s">
        <v>100</v>
      </c>
    </row>
    <row r="32" spans="1:2">
      <c r="A32" s="161">
        <v>2</v>
      </c>
      <c r="B32" s="18" t="s">
        <v>101</v>
      </c>
    </row>
  </sheetData>
  <printOptions gridLines="1"/>
  <pageMargins left="0.7" right="0.7" top="0.75" bottom="0.75" header="0.3" footer="0.3"/>
  <pageSetup paperSize="9" scale="95" orientation="landscape"/>
  <headerFooter>
    <oddHeader>&amp;C&amp;F 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workbookViewId="0">
      <selection activeCell="H77" sqref="H77"/>
    </sheetView>
  </sheetViews>
  <sheetFormatPr defaultColWidth="9.14285714285714" defaultRowHeight="15"/>
  <cols>
    <col min="1" max="1" width="4.71428571428571" style="170" customWidth="1"/>
    <col min="2" max="2" width="6.28571428571429" style="18" customWidth="1"/>
    <col min="3" max="3" width="5.71428571428571" style="18" customWidth="1"/>
    <col min="4" max="4" width="9.57142857142857" style="18" customWidth="1"/>
    <col min="5" max="5" width="9.14285714285714" style="18" customWidth="1"/>
    <col min="6" max="6" width="8.57142857142857" style="99" customWidth="1"/>
    <col min="7" max="7" width="10.5714285714286" style="99" customWidth="1"/>
    <col min="8" max="8" width="34.5714285714286" style="99" customWidth="1"/>
    <col min="9" max="9" width="11.7142857142857" style="167" customWidth="1"/>
    <col min="10" max="10" width="14" style="99" customWidth="1"/>
    <col min="11" max="256" width="9.14285714285714" style="18"/>
  </cols>
  <sheetData>
    <row r="1" spans="1:10">
      <c r="A1" s="98" t="s">
        <v>0</v>
      </c>
      <c r="D1" s="18" t="s">
        <v>1</v>
      </c>
      <c r="G1" s="98" t="s">
        <v>2</v>
      </c>
      <c r="H1" s="161" t="s">
        <v>102</v>
      </c>
      <c r="I1" s="18"/>
      <c r="J1" s="18"/>
    </row>
    <row r="2" spans="1:10">
      <c r="A2" s="98" t="s">
        <v>4</v>
      </c>
      <c r="D2" s="18" t="s">
        <v>5</v>
      </c>
      <c r="G2" s="98" t="s">
        <v>6</v>
      </c>
      <c r="H2" s="100">
        <v>44422</v>
      </c>
      <c r="I2" s="18"/>
      <c r="J2" s="18"/>
    </row>
    <row r="3" spans="1:8">
      <c r="A3" s="98" t="s">
        <v>103</v>
      </c>
      <c r="E3" s="98"/>
      <c r="H3" s="18"/>
    </row>
    <row r="5" s="169" customFormat="1" ht="51" spans="1:10">
      <c r="A5" s="171" t="s">
        <v>10</v>
      </c>
      <c r="B5" s="171" t="s">
        <v>104</v>
      </c>
      <c r="C5" s="171" t="s">
        <v>105</v>
      </c>
      <c r="D5" s="171" t="s">
        <v>106</v>
      </c>
      <c r="E5" s="171" t="s">
        <v>107</v>
      </c>
      <c r="F5" s="172" t="s">
        <v>108</v>
      </c>
      <c r="G5" s="172" t="s">
        <v>109</v>
      </c>
      <c r="H5" s="172" t="s">
        <v>110</v>
      </c>
      <c r="I5" s="172" t="s">
        <v>111</v>
      </c>
      <c r="J5" s="178"/>
    </row>
    <row r="6" spans="1:9">
      <c r="A6" s="173">
        <v>1</v>
      </c>
      <c r="B6" s="174" t="s">
        <v>60</v>
      </c>
      <c r="C6" s="174">
        <v>101</v>
      </c>
      <c r="D6" s="175">
        <v>1247</v>
      </c>
      <c r="E6" s="175">
        <v>1321</v>
      </c>
      <c r="F6" s="175">
        <v>1715</v>
      </c>
      <c r="G6" s="176">
        <v>72.72</v>
      </c>
      <c r="H6" s="18" t="s">
        <v>112</v>
      </c>
      <c r="I6" s="18" t="s">
        <v>113</v>
      </c>
    </row>
    <row r="7" spans="1:9">
      <c r="A7" s="173">
        <v>2</v>
      </c>
      <c r="B7" s="174" t="s">
        <v>60</v>
      </c>
      <c r="C7" s="174">
        <v>103</v>
      </c>
      <c r="D7" s="175">
        <v>1247</v>
      </c>
      <c r="E7" s="175">
        <v>1321</v>
      </c>
      <c r="F7" s="177">
        <v>1715</v>
      </c>
      <c r="G7" s="176">
        <v>72.72</v>
      </c>
      <c r="H7" s="18" t="s">
        <v>112</v>
      </c>
      <c r="I7" s="18" t="s">
        <v>113</v>
      </c>
    </row>
    <row r="8" spans="1:9">
      <c r="A8" s="173">
        <v>3</v>
      </c>
      <c r="B8" s="174" t="s">
        <v>60</v>
      </c>
      <c r="C8" s="174">
        <v>104</v>
      </c>
      <c r="D8" s="175">
        <v>1247</v>
      </c>
      <c r="E8" s="175">
        <v>1321</v>
      </c>
      <c r="F8" s="175">
        <v>1715</v>
      </c>
      <c r="G8" s="176">
        <v>72.72</v>
      </c>
      <c r="H8" s="18" t="s">
        <v>112</v>
      </c>
      <c r="I8" s="18" t="s">
        <v>113</v>
      </c>
    </row>
    <row r="9" spans="1:9">
      <c r="A9" s="173">
        <v>4</v>
      </c>
      <c r="B9" s="174" t="s">
        <v>60</v>
      </c>
      <c r="C9" s="174">
        <v>115</v>
      </c>
      <c r="D9" s="175">
        <v>0</v>
      </c>
      <c r="E9" s="175">
        <v>0</v>
      </c>
      <c r="F9" s="175">
        <v>1945</v>
      </c>
      <c r="G9" s="176">
        <v>0</v>
      </c>
      <c r="H9" s="18" t="s">
        <v>112</v>
      </c>
      <c r="I9" s="18" t="s">
        <v>113</v>
      </c>
    </row>
    <row r="10" spans="1:9">
      <c r="A10" s="173">
        <v>5</v>
      </c>
      <c r="B10" s="174" t="s">
        <v>60</v>
      </c>
      <c r="C10" s="174">
        <v>116</v>
      </c>
      <c r="D10" s="175">
        <v>0</v>
      </c>
      <c r="E10" s="175">
        <v>0</v>
      </c>
      <c r="F10" s="175">
        <v>1945</v>
      </c>
      <c r="G10" s="176">
        <v>0</v>
      </c>
      <c r="H10" s="18" t="s">
        <v>112</v>
      </c>
      <c r="I10" s="18" t="s">
        <v>113</v>
      </c>
    </row>
    <row r="11" spans="1:9">
      <c r="A11" s="173">
        <v>6</v>
      </c>
      <c r="B11" s="174" t="s">
        <v>60</v>
      </c>
      <c r="C11" s="174">
        <v>117</v>
      </c>
      <c r="D11" s="175">
        <v>0</v>
      </c>
      <c r="E11" s="175">
        <v>0</v>
      </c>
      <c r="F11" s="175">
        <v>1945</v>
      </c>
      <c r="G11" s="176">
        <v>0</v>
      </c>
      <c r="H11" s="18" t="s">
        <v>112</v>
      </c>
      <c r="I11" s="18" t="s">
        <v>113</v>
      </c>
    </row>
    <row r="12" spans="1:9">
      <c r="A12" s="173">
        <v>7</v>
      </c>
      <c r="B12" s="174" t="s">
        <v>60</v>
      </c>
      <c r="C12" s="174">
        <v>201</v>
      </c>
      <c r="D12" s="175">
        <v>1247</v>
      </c>
      <c r="E12" s="175">
        <v>1321</v>
      </c>
      <c r="F12" s="175">
        <v>1715</v>
      </c>
      <c r="G12" s="176">
        <v>72.72</v>
      </c>
      <c r="H12" s="18" t="s">
        <v>114</v>
      </c>
      <c r="I12" s="18" t="s">
        <v>113</v>
      </c>
    </row>
    <row r="13" spans="1:9">
      <c r="A13" s="173">
        <v>8</v>
      </c>
      <c r="B13" s="174" t="s">
        <v>60</v>
      </c>
      <c r="C13" s="174">
        <v>202</v>
      </c>
      <c r="D13" s="175">
        <v>1247</v>
      </c>
      <c r="E13" s="175">
        <v>1321</v>
      </c>
      <c r="F13" s="175">
        <v>1715</v>
      </c>
      <c r="G13" s="176">
        <v>72.72</v>
      </c>
      <c r="H13" s="18" t="s">
        <v>114</v>
      </c>
      <c r="I13" s="18" t="s">
        <v>113</v>
      </c>
    </row>
    <row r="14" spans="1:9">
      <c r="A14" s="173">
        <v>9</v>
      </c>
      <c r="B14" s="174" t="s">
        <v>60</v>
      </c>
      <c r="C14" s="174">
        <v>203</v>
      </c>
      <c r="D14" s="175">
        <v>1247</v>
      </c>
      <c r="E14" s="175">
        <v>1321</v>
      </c>
      <c r="F14" s="175">
        <v>1715</v>
      </c>
      <c r="G14" s="176">
        <v>72.72</v>
      </c>
      <c r="H14" s="18" t="s">
        <v>114</v>
      </c>
      <c r="I14" s="18" t="s">
        <v>113</v>
      </c>
    </row>
    <row r="15" spans="1:9">
      <c r="A15" s="173">
        <v>10</v>
      </c>
      <c r="B15" s="174" t="s">
        <v>60</v>
      </c>
      <c r="C15" s="174">
        <v>204</v>
      </c>
      <c r="D15" s="175">
        <v>1247</v>
      </c>
      <c r="E15" s="175">
        <v>1321</v>
      </c>
      <c r="F15" s="175">
        <v>1715</v>
      </c>
      <c r="G15" s="176">
        <v>72.72</v>
      </c>
      <c r="H15" s="18" t="s">
        <v>114</v>
      </c>
      <c r="I15" s="18" t="s">
        <v>113</v>
      </c>
    </row>
    <row r="16" spans="1:9">
      <c r="A16" s="173">
        <v>11</v>
      </c>
      <c r="B16" s="174" t="s">
        <v>60</v>
      </c>
      <c r="C16" s="174">
        <v>205</v>
      </c>
      <c r="D16" s="175">
        <v>1247</v>
      </c>
      <c r="E16" s="175">
        <v>1321</v>
      </c>
      <c r="F16" s="177">
        <v>1715</v>
      </c>
      <c r="G16" s="176">
        <v>72.72</v>
      </c>
      <c r="H16" s="18" t="s">
        <v>114</v>
      </c>
      <c r="I16" s="18" t="s">
        <v>113</v>
      </c>
    </row>
    <row r="17" spans="1:9">
      <c r="A17" s="173">
        <v>12</v>
      </c>
      <c r="B17" s="174" t="s">
        <v>60</v>
      </c>
      <c r="C17" s="174">
        <v>214</v>
      </c>
      <c r="D17" s="175">
        <v>0</v>
      </c>
      <c r="E17" s="175">
        <v>0</v>
      </c>
      <c r="F17" s="175">
        <v>1945</v>
      </c>
      <c r="G17" s="176">
        <v>0</v>
      </c>
      <c r="H17" s="18" t="s">
        <v>114</v>
      </c>
      <c r="I17" s="18" t="s">
        <v>113</v>
      </c>
    </row>
    <row r="18" spans="1:9">
      <c r="A18" s="173">
        <v>13</v>
      </c>
      <c r="B18" s="174" t="s">
        <v>60</v>
      </c>
      <c r="C18" s="174">
        <v>215</v>
      </c>
      <c r="D18" s="175">
        <v>0</v>
      </c>
      <c r="E18" s="175">
        <v>0</v>
      </c>
      <c r="F18" s="175">
        <v>1945</v>
      </c>
      <c r="G18" s="176">
        <v>0</v>
      </c>
      <c r="H18" s="18" t="s">
        <v>114</v>
      </c>
      <c r="I18" s="18" t="s">
        <v>113</v>
      </c>
    </row>
    <row r="19" spans="1:9">
      <c r="A19" s="173">
        <v>14</v>
      </c>
      <c r="B19" s="174" t="s">
        <v>60</v>
      </c>
      <c r="C19" s="174">
        <v>216</v>
      </c>
      <c r="D19" s="175">
        <v>0</v>
      </c>
      <c r="E19" s="175">
        <v>0</v>
      </c>
      <c r="F19" s="175">
        <v>1945</v>
      </c>
      <c r="G19" s="176">
        <v>0</v>
      </c>
      <c r="H19" s="18" t="s">
        <v>114</v>
      </c>
      <c r="I19" s="18" t="s">
        <v>113</v>
      </c>
    </row>
    <row r="20" spans="1:9">
      <c r="A20" s="173">
        <v>15</v>
      </c>
      <c r="B20" s="174" t="s">
        <v>60</v>
      </c>
      <c r="C20" s="174">
        <v>301</v>
      </c>
      <c r="D20" s="175">
        <v>1247</v>
      </c>
      <c r="E20" s="175">
        <v>1321</v>
      </c>
      <c r="F20" s="177">
        <v>1715</v>
      </c>
      <c r="G20" s="176">
        <v>72.72</v>
      </c>
      <c r="H20" s="18" t="s">
        <v>112</v>
      </c>
      <c r="I20" s="18" t="s">
        <v>113</v>
      </c>
    </row>
    <row r="21" spans="1:9">
      <c r="A21" s="173">
        <v>16</v>
      </c>
      <c r="B21" s="174" t="s">
        <v>60</v>
      </c>
      <c r="C21" s="174">
        <v>302</v>
      </c>
      <c r="D21" s="175">
        <v>1247</v>
      </c>
      <c r="E21" s="175">
        <v>1321</v>
      </c>
      <c r="F21" s="175">
        <v>1715</v>
      </c>
      <c r="G21" s="176">
        <v>72.72</v>
      </c>
      <c r="H21" s="18" t="s">
        <v>112</v>
      </c>
      <c r="I21" s="18" t="s">
        <v>113</v>
      </c>
    </row>
    <row r="22" spans="1:9">
      <c r="A22" s="173">
        <v>17</v>
      </c>
      <c r="B22" s="174" t="s">
        <v>60</v>
      </c>
      <c r="C22" s="174">
        <v>304</v>
      </c>
      <c r="D22" s="175">
        <v>1247</v>
      </c>
      <c r="E22" s="175">
        <v>1321</v>
      </c>
      <c r="F22" s="175">
        <v>1715</v>
      </c>
      <c r="G22" s="176">
        <v>72.72</v>
      </c>
      <c r="H22" s="18" t="s">
        <v>112</v>
      </c>
      <c r="I22" s="18" t="s">
        <v>113</v>
      </c>
    </row>
    <row r="23" spans="1:9">
      <c r="A23" s="173">
        <v>18</v>
      </c>
      <c r="B23" s="174" t="s">
        <v>60</v>
      </c>
      <c r="C23" s="174">
        <v>305</v>
      </c>
      <c r="D23" s="175">
        <v>1247</v>
      </c>
      <c r="E23" s="175">
        <v>1321</v>
      </c>
      <c r="F23" s="175">
        <v>1715</v>
      </c>
      <c r="G23" s="176">
        <v>72.72</v>
      </c>
      <c r="H23" s="18" t="s">
        <v>112</v>
      </c>
      <c r="I23" s="18" t="s">
        <v>113</v>
      </c>
    </row>
    <row r="24" spans="1:9">
      <c r="A24" s="173">
        <v>19</v>
      </c>
      <c r="B24" s="174" t="s">
        <v>60</v>
      </c>
      <c r="C24" s="174">
        <v>314</v>
      </c>
      <c r="D24" s="175">
        <v>0</v>
      </c>
      <c r="E24" s="175">
        <v>0</v>
      </c>
      <c r="F24" s="175">
        <v>1945</v>
      </c>
      <c r="G24" s="176">
        <v>0</v>
      </c>
      <c r="H24" s="151" t="s">
        <v>115</v>
      </c>
      <c r="I24" s="18" t="s">
        <v>113</v>
      </c>
    </row>
    <row r="25" spans="1:9">
      <c r="A25" s="173">
        <v>20</v>
      </c>
      <c r="B25" s="174" t="s">
        <v>60</v>
      </c>
      <c r="C25" s="174">
        <v>316</v>
      </c>
      <c r="D25" s="175">
        <v>0</v>
      </c>
      <c r="E25" s="175">
        <v>0</v>
      </c>
      <c r="F25" s="175">
        <v>1945</v>
      </c>
      <c r="G25" s="176">
        <v>0</v>
      </c>
      <c r="H25" s="18" t="s">
        <v>112</v>
      </c>
      <c r="I25" s="18" t="s">
        <v>113</v>
      </c>
    </row>
    <row r="26" spans="1:9">
      <c r="A26" s="173">
        <v>21</v>
      </c>
      <c r="B26" s="174" t="s">
        <v>60</v>
      </c>
      <c r="C26" s="174">
        <v>317</v>
      </c>
      <c r="D26" s="175">
        <v>0</v>
      </c>
      <c r="E26" s="175">
        <v>0</v>
      </c>
      <c r="F26" s="175">
        <v>1945</v>
      </c>
      <c r="G26" s="176">
        <v>0</v>
      </c>
      <c r="H26" s="18" t="s">
        <v>112</v>
      </c>
      <c r="I26" s="18" t="s">
        <v>113</v>
      </c>
    </row>
    <row r="27" spans="1:9">
      <c r="A27" s="173">
        <v>22</v>
      </c>
      <c r="B27" s="174" t="s">
        <v>60</v>
      </c>
      <c r="C27" s="174">
        <v>402</v>
      </c>
      <c r="D27" s="175">
        <v>1247</v>
      </c>
      <c r="E27" s="175">
        <v>1321</v>
      </c>
      <c r="F27" s="175">
        <v>1715</v>
      </c>
      <c r="G27" s="176">
        <v>72.72</v>
      </c>
      <c r="H27" s="18" t="s">
        <v>112</v>
      </c>
      <c r="I27" s="18" t="s">
        <v>113</v>
      </c>
    </row>
    <row r="28" spans="1:9">
      <c r="A28" s="173">
        <v>23</v>
      </c>
      <c r="B28" s="174" t="s">
        <v>60</v>
      </c>
      <c r="C28" s="174">
        <v>403</v>
      </c>
      <c r="D28" s="175">
        <v>1247</v>
      </c>
      <c r="E28" s="175">
        <v>1321</v>
      </c>
      <c r="F28" s="175">
        <v>1715</v>
      </c>
      <c r="G28" s="176">
        <v>72.72</v>
      </c>
      <c r="H28" s="18" t="s">
        <v>112</v>
      </c>
      <c r="I28" s="18" t="s">
        <v>113</v>
      </c>
    </row>
    <row r="29" spans="1:9">
      <c r="A29" s="173">
        <v>24</v>
      </c>
      <c r="B29" s="174" t="s">
        <v>60</v>
      </c>
      <c r="C29" s="174">
        <v>405</v>
      </c>
      <c r="D29" s="175">
        <v>1247</v>
      </c>
      <c r="E29" s="175">
        <v>1321</v>
      </c>
      <c r="F29" s="175">
        <v>1715</v>
      </c>
      <c r="G29" s="176">
        <v>72.72</v>
      </c>
      <c r="H29" s="18" t="s">
        <v>116</v>
      </c>
      <c r="I29" s="18" t="s">
        <v>113</v>
      </c>
    </row>
    <row r="30" spans="1:9">
      <c r="A30" s="173">
        <v>25</v>
      </c>
      <c r="B30" s="174" t="s">
        <v>60</v>
      </c>
      <c r="C30" s="174">
        <v>414</v>
      </c>
      <c r="D30" s="175">
        <v>0</v>
      </c>
      <c r="E30" s="175">
        <v>0</v>
      </c>
      <c r="F30" s="175">
        <v>1945</v>
      </c>
      <c r="G30" s="176">
        <v>0</v>
      </c>
      <c r="H30" s="151" t="s">
        <v>117</v>
      </c>
      <c r="I30" s="18" t="s">
        <v>113</v>
      </c>
    </row>
    <row r="31" spans="1:9">
      <c r="A31" s="173">
        <v>26</v>
      </c>
      <c r="B31" s="174" t="s">
        <v>60</v>
      </c>
      <c r="C31" s="174">
        <v>415</v>
      </c>
      <c r="D31" s="175">
        <v>0</v>
      </c>
      <c r="E31" s="175">
        <v>0</v>
      </c>
      <c r="F31" s="175">
        <v>1945</v>
      </c>
      <c r="G31" s="176">
        <v>0</v>
      </c>
      <c r="H31" s="18" t="s">
        <v>112</v>
      </c>
      <c r="I31" s="18" t="s">
        <v>113</v>
      </c>
    </row>
    <row r="32" spans="1:9">
      <c r="A32" s="173">
        <v>27</v>
      </c>
      <c r="B32" s="174" t="s">
        <v>60</v>
      </c>
      <c r="C32" s="174">
        <v>417</v>
      </c>
      <c r="D32" s="175">
        <v>0</v>
      </c>
      <c r="E32" s="175">
        <v>0</v>
      </c>
      <c r="F32" s="175">
        <v>1945</v>
      </c>
      <c r="G32" s="176">
        <v>0</v>
      </c>
      <c r="H32" s="18" t="s">
        <v>112</v>
      </c>
      <c r="I32" s="18" t="s">
        <v>113</v>
      </c>
    </row>
    <row r="33" spans="1:9">
      <c r="A33" s="173">
        <v>28</v>
      </c>
      <c r="B33" s="174" t="s">
        <v>60</v>
      </c>
      <c r="C33" s="174">
        <v>503</v>
      </c>
      <c r="D33" s="175">
        <v>1247</v>
      </c>
      <c r="E33" s="175">
        <v>1321</v>
      </c>
      <c r="F33" s="175">
        <v>1715</v>
      </c>
      <c r="G33" s="176">
        <v>72.72</v>
      </c>
      <c r="H33" s="18" t="s">
        <v>112</v>
      </c>
      <c r="I33" s="18" t="s">
        <v>113</v>
      </c>
    </row>
    <row r="34" spans="1:9">
      <c r="A34" s="173">
        <v>29</v>
      </c>
      <c r="B34" s="174" t="s">
        <v>60</v>
      </c>
      <c r="C34" s="174">
        <v>515</v>
      </c>
      <c r="D34" s="175">
        <v>0</v>
      </c>
      <c r="E34" s="175">
        <v>0</v>
      </c>
      <c r="F34" s="175">
        <v>1945</v>
      </c>
      <c r="G34" s="176">
        <v>0</v>
      </c>
      <c r="H34" s="148" t="s">
        <v>118</v>
      </c>
      <c r="I34" s="18" t="s">
        <v>113</v>
      </c>
    </row>
    <row r="35" spans="1:9">
      <c r="A35" s="173">
        <v>30</v>
      </c>
      <c r="B35" s="174" t="s">
        <v>60</v>
      </c>
      <c r="C35" s="174">
        <v>516</v>
      </c>
      <c r="D35" s="175">
        <v>0</v>
      </c>
      <c r="E35" s="175">
        <v>0</v>
      </c>
      <c r="F35" s="175">
        <v>1945</v>
      </c>
      <c r="G35" s="176">
        <v>0</v>
      </c>
      <c r="H35" s="18" t="s">
        <v>112</v>
      </c>
      <c r="I35" s="18" t="s">
        <v>113</v>
      </c>
    </row>
    <row r="36" spans="1:9">
      <c r="A36" s="173">
        <v>31</v>
      </c>
      <c r="B36" s="174" t="s">
        <v>60</v>
      </c>
      <c r="C36" s="174">
        <v>601</v>
      </c>
      <c r="D36" s="175">
        <v>1247</v>
      </c>
      <c r="E36" s="175">
        <v>1321</v>
      </c>
      <c r="F36" s="175">
        <v>1715</v>
      </c>
      <c r="G36" s="176">
        <v>72.72</v>
      </c>
      <c r="H36" s="18" t="s">
        <v>112</v>
      </c>
      <c r="I36" s="18" t="s">
        <v>113</v>
      </c>
    </row>
    <row r="37" spans="1:9">
      <c r="A37" s="173">
        <v>32</v>
      </c>
      <c r="B37" s="174" t="s">
        <v>60</v>
      </c>
      <c r="C37" s="174">
        <v>602</v>
      </c>
      <c r="D37" s="175">
        <v>1247</v>
      </c>
      <c r="E37" s="175">
        <v>1321</v>
      </c>
      <c r="F37" s="175">
        <v>1715</v>
      </c>
      <c r="G37" s="176">
        <v>72.72</v>
      </c>
      <c r="H37" s="18" t="s">
        <v>112</v>
      </c>
      <c r="I37" s="18" t="s">
        <v>113</v>
      </c>
    </row>
    <row r="38" spans="1:9">
      <c r="A38" s="173">
        <v>33</v>
      </c>
      <c r="B38" s="174" t="s">
        <v>60</v>
      </c>
      <c r="C38" s="174">
        <v>605</v>
      </c>
      <c r="D38" s="175">
        <v>1247</v>
      </c>
      <c r="E38" s="175">
        <v>1321</v>
      </c>
      <c r="F38" s="175">
        <v>1715</v>
      </c>
      <c r="G38" s="176">
        <v>72.72</v>
      </c>
      <c r="H38" s="18" t="s">
        <v>112</v>
      </c>
      <c r="I38" s="18" t="s">
        <v>113</v>
      </c>
    </row>
    <row r="39" spans="1:9">
      <c r="A39" s="173">
        <v>34</v>
      </c>
      <c r="B39" s="174" t="s">
        <v>60</v>
      </c>
      <c r="C39" s="174">
        <v>617</v>
      </c>
      <c r="D39" s="175">
        <v>0</v>
      </c>
      <c r="E39" s="175">
        <v>0</v>
      </c>
      <c r="F39" s="175">
        <v>1945</v>
      </c>
      <c r="G39" s="176">
        <v>0</v>
      </c>
      <c r="H39" s="18" t="s">
        <v>112</v>
      </c>
      <c r="I39" s="18" t="s">
        <v>113</v>
      </c>
    </row>
    <row r="40" spans="1:9">
      <c r="A40" s="173">
        <v>35</v>
      </c>
      <c r="B40" s="174" t="s">
        <v>60</v>
      </c>
      <c r="C40" s="174">
        <v>702</v>
      </c>
      <c r="D40" s="175">
        <v>1247</v>
      </c>
      <c r="E40" s="175">
        <v>1321</v>
      </c>
      <c r="F40" s="175">
        <v>1715</v>
      </c>
      <c r="G40" s="176">
        <v>72.72</v>
      </c>
      <c r="H40" s="18" t="s">
        <v>112</v>
      </c>
      <c r="I40" s="18" t="s">
        <v>113</v>
      </c>
    </row>
    <row r="41" spans="1:9">
      <c r="A41" s="173">
        <v>36</v>
      </c>
      <c r="B41" s="174" t="s">
        <v>60</v>
      </c>
      <c r="C41" s="174">
        <v>703</v>
      </c>
      <c r="D41" s="175">
        <v>1247</v>
      </c>
      <c r="E41" s="175">
        <v>1321</v>
      </c>
      <c r="F41" s="175">
        <v>1715</v>
      </c>
      <c r="G41" s="176">
        <v>72.72</v>
      </c>
      <c r="H41" s="18" t="s">
        <v>112</v>
      </c>
      <c r="I41" s="18" t="s">
        <v>113</v>
      </c>
    </row>
    <row r="42" spans="1:9">
      <c r="A42" s="173">
        <v>37</v>
      </c>
      <c r="B42" s="174" t="s">
        <v>60</v>
      </c>
      <c r="C42" s="174">
        <v>705</v>
      </c>
      <c r="D42" s="175">
        <v>1247</v>
      </c>
      <c r="E42" s="175">
        <v>1321</v>
      </c>
      <c r="F42" s="175">
        <v>1715</v>
      </c>
      <c r="G42" s="176">
        <v>72.72</v>
      </c>
      <c r="H42" s="18" t="s">
        <v>112</v>
      </c>
      <c r="I42" s="18" t="s">
        <v>113</v>
      </c>
    </row>
    <row r="43" spans="1:9">
      <c r="A43" s="173">
        <v>38</v>
      </c>
      <c r="B43" s="174" t="s">
        <v>60</v>
      </c>
      <c r="C43" s="174">
        <v>714</v>
      </c>
      <c r="D43" s="175">
        <v>0</v>
      </c>
      <c r="E43" s="175">
        <v>0</v>
      </c>
      <c r="F43" s="175">
        <v>1945</v>
      </c>
      <c r="G43" s="176">
        <v>0</v>
      </c>
      <c r="H43" s="18" t="s">
        <v>112</v>
      </c>
      <c r="I43" s="18" t="s">
        <v>113</v>
      </c>
    </row>
    <row r="44" spans="1:9">
      <c r="A44" s="173">
        <v>39</v>
      </c>
      <c r="B44" s="174" t="s">
        <v>60</v>
      </c>
      <c r="C44" s="174">
        <v>715</v>
      </c>
      <c r="D44" s="175">
        <v>0</v>
      </c>
      <c r="E44" s="175">
        <v>0</v>
      </c>
      <c r="F44" s="175">
        <v>1945</v>
      </c>
      <c r="G44" s="176">
        <v>0</v>
      </c>
      <c r="H44" s="18" t="s">
        <v>112</v>
      </c>
      <c r="I44" s="18" t="s">
        <v>113</v>
      </c>
    </row>
    <row r="45" spans="1:9">
      <c r="A45" s="173">
        <v>40</v>
      </c>
      <c r="B45" s="174" t="s">
        <v>60</v>
      </c>
      <c r="C45" s="174">
        <v>717</v>
      </c>
      <c r="D45" s="175">
        <v>0</v>
      </c>
      <c r="E45" s="175">
        <v>0</v>
      </c>
      <c r="F45" s="175">
        <v>1945</v>
      </c>
      <c r="G45" s="176">
        <v>0</v>
      </c>
      <c r="H45" s="18" t="s">
        <v>112</v>
      </c>
      <c r="I45" s="18" t="s">
        <v>113</v>
      </c>
    </row>
    <row r="46" spans="1:9">
      <c r="A46" s="173">
        <v>41</v>
      </c>
      <c r="B46" s="174" t="s">
        <v>62</v>
      </c>
      <c r="C46" s="174">
        <v>106</v>
      </c>
      <c r="D46" s="175">
        <v>1247</v>
      </c>
      <c r="E46" s="175">
        <v>1321</v>
      </c>
      <c r="F46" s="175">
        <v>1715</v>
      </c>
      <c r="G46" s="176">
        <v>72.72</v>
      </c>
      <c r="H46" s="18" t="s">
        <v>119</v>
      </c>
      <c r="I46" s="18" t="s">
        <v>113</v>
      </c>
    </row>
    <row r="47" spans="1:9">
      <c r="A47" s="173">
        <v>42</v>
      </c>
      <c r="B47" s="174" t="s">
        <v>62</v>
      </c>
      <c r="C47" s="174">
        <v>107</v>
      </c>
      <c r="D47" s="175">
        <v>1247</v>
      </c>
      <c r="E47" s="175">
        <v>1321</v>
      </c>
      <c r="F47" s="175">
        <v>1715</v>
      </c>
      <c r="G47" s="176">
        <v>72.72</v>
      </c>
      <c r="H47" s="18" t="s">
        <v>25</v>
      </c>
      <c r="I47" s="18" t="s">
        <v>113</v>
      </c>
    </row>
    <row r="48" spans="1:9">
      <c r="A48" s="173">
        <v>43</v>
      </c>
      <c r="B48" s="174" t="s">
        <v>62</v>
      </c>
      <c r="C48" s="174">
        <v>109</v>
      </c>
      <c r="D48" s="175">
        <v>1247</v>
      </c>
      <c r="E48" s="175">
        <v>1321</v>
      </c>
      <c r="F48" s="175">
        <v>1715</v>
      </c>
      <c r="G48" s="176">
        <v>72.72</v>
      </c>
      <c r="H48" s="18" t="s">
        <v>25</v>
      </c>
      <c r="I48" s="18" t="s">
        <v>113</v>
      </c>
    </row>
    <row r="49" spans="1:9">
      <c r="A49" s="173">
        <v>44</v>
      </c>
      <c r="B49" s="174" t="s">
        <v>62</v>
      </c>
      <c r="C49" s="174">
        <v>110</v>
      </c>
      <c r="D49" s="175">
        <v>1247</v>
      </c>
      <c r="E49" s="175">
        <v>1321</v>
      </c>
      <c r="F49" s="175">
        <v>1715</v>
      </c>
      <c r="G49" s="176">
        <v>72.72</v>
      </c>
      <c r="H49" s="18" t="s">
        <v>25</v>
      </c>
      <c r="I49" s="18" t="s">
        <v>113</v>
      </c>
    </row>
    <row r="50" spans="1:9">
      <c r="A50" s="173">
        <v>45</v>
      </c>
      <c r="B50" s="174" t="s">
        <v>62</v>
      </c>
      <c r="C50" s="174">
        <v>112</v>
      </c>
      <c r="D50" s="175">
        <v>1247</v>
      </c>
      <c r="E50" s="175">
        <v>1321</v>
      </c>
      <c r="F50" s="175">
        <v>1715</v>
      </c>
      <c r="G50" s="176">
        <v>72.72</v>
      </c>
      <c r="H50" s="18" t="s">
        <v>120</v>
      </c>
      <c r="I50" s="18" t="s">
        <v>113</v>
      </c>
    </row>
    <row r="51" spans="1:9">
      <c r="A51" s="173">
        <v>46</v>
      </c>
      <c r="B51" s="174" t="s">
        <v>62</v>
      </c>
      <c r="C51" s="174">
        <v>113</v>
      </c>
      <c r="D51" s="175">
        <v>0</v>
      </c>
      <c r="E51" s="175">
        <v>0</v>
      </c>
      <c r="F51" s="175">
        <v>1220</v>
      </c>
      <c r="G51" s="176">
        <v>0</v>
      </c>
      <c r="H51" s="18" t="s">
        <v>112</v>
      </c>
      <c r="I51" s="18" t="s">
        <v>113</v>
      </c>
    </row>
    <row r="52" spans="1:9">
      <c r="A52" s="173">
        <v>47</v>
      </c>
      <c r="B52" s="174" t="s">
        <v>62</v>
      </c>
      <c r="C52" s="174">
        <v>206</v>
      </c>
      <c r="D52" s="175">
        <v>1247</v>
      </c>
      <c r="E52" s="175">
        <v>1321</v>
      </c>
      <c r="F52" s="175">
        <v>1715</v>
      </c>
      <c r="G52" s="176">
        <v>72.72</v>
      </c>
      <c r="H52" s="18" t="s">
        <v>114</v>
      </c>
      <c r="I52" s="18" t="s">
        <v>113</v>
      </c>
    </row>
    <row r="53" spans="1:9">
      <c r="A53" s="173">
        <v>48</v>
      </c>
      <c r="B53" s="174" t="s">
        <v>62</v>
      </c>
      <c r="C53" s="174">
        <v>207</v>
      </c>
      <c r="D53" s="175">
        <v>1247</v>
      </c>
      <c r="E53" s="175">
        <v>1321</v>
      </c>
      <c r="F53" s="175">
        <v>1715</v>
      </c>
      <c r="G53" s="176">
        <v>72.72</v>
      </c>
      <c r="H53" s="18" t="s">
        <v>114</v>
      </c>
      <c r="I53" s="18" t="s">
        <v>113</v>
      </c>
    </row>
    <row r="54" spans="1:9">
      <c r="A54" s="173">
        <v>49</v>
      </c>
      <c r="B54" s="174" t="s">
        <v>62</v>
      </c>
      <c r="C54" s="174">
        <v>208</v>
      </c>
      <c r="D54" s="175">
        <v>1247</v>
      </c>
      <c r="E54" s="175">
        <v>1321</v>
      </c>
      <c r="F54" s="175">
        <v>1715</v>
      </c>
      <c r="G54" s="176">
        <v>72.72</v>
      </c>
      <c r="H54" s="18" t="s">
        <v>114</v>
      </c>
      <c r="I54" s="18" t="s">
        <v>113</v>
      </c>
    </row>
    <row r="55" spans="1:9">
      <c r="A55" s="173">
        <v>50</v>
      </c>
      <c r="B55" s="174" t="s">
        <v>62</v>
      </c>
      <c r="C55" s="174">
        <v>209</v>
      </c>
      <c r="D55" s="175">
        <v>1247</v>
      </c>
      <c r="E55" s="175">
        <v>1321</v>
      </c>
      <c r="F55" s="175">
        <v>1715</v>
      </c>
      <c r="G55" s="176">
        <v>72.72</v>
      </c>
      <c r="H55" s="18" t="s">
        <v>114</v>
      </c>
      <c r="I55" s="18" t="s">
        <v>113</v>
      </c>
    </row>
    <row r="56" spans="1:9">
      <c r="A56" s="173">
        <v>51</v>
      </c>
      <c r="B56" s="174" t="s">
        <v>62</v>
      </c>
      <c r="C56" s="174">
        <v>210</v>
      </c>
      <c r="D56" s="175">
        <v>1247</v>
      </c>
      <c r="E56" s="175">
        <v>1321</v>
      </c>
      <c r="F56" s="175">
        <v>1715</v>
      </c>
      <c r="G56" s="176">
        <v>72.72</v>
      </c>
      <c r="H56" s="18" t="s">
        <v>121</v>
      </c>
      <c r="I56" s="18" t="s">
        <v>113</v>
      </c>
    </row>
    <row r="57" spans="1:9">
      <c r="A57" s="173">
        <v>52</v>
      </c>
      <c r="B57" s="174" t="s">
        <v>62</v>
      </c>
      <c r="C57" s="174">
        <v>211</v>
      </c>
      <c r="D57" s="175">
        <v>1247</v>
      </c>
      <c r="E57" s="175">
        <v>1321</v>
      </c>
      <c r="F57" s="175">
        <v>1715</v>
      </c>
      <c r="G57" s="176">
        <v>72.72</v>
      </c>
      <c r="H57" s="18" t="s">
        <v>114</v>
      </c>
      <c r="I57" s="18" t="s">
        <v>113</v>
      </c>
    </row>
    <row r="58" spans="1:9">
      <c r="A58" s="173">
        <v>53</v>
      </c>
      <c r="B58" s="174" t="s">
        <v>62</v>
      </c>
      <c r="C58" s="174">
        <v>212</v>
      </c>
      <c r="D58" s="175">
        <v>1247</v>
      </c>
      <c r="E58" s="175">
        <v>1321</v>
      </c>
      <c r="F58" s="175">
        <v>1715</v>
      </c>
      <c r="G58" s="176">
        <v>72.72</v>
      </c>
      <c r="H58" s="18" t="s">
        <v>114</v>
      </c>
      <c r="I58" s="18" t="s">
        <v>113</v>
      </c>
    </row>
    <row r="59" spans="1:9">
      <c r="A59" s="173">
        <v>54</v>
      </c>
      <c r="B59" s="174" t="s">
        <v>62</v>
      </c>
      <c r="C59" s="174">
        <v>213</v>
      </c>
      <c r="D59" s="175">
        <v>0</v>
      </c>
      <c r="E59" s="175">
        <v>0</v>
      </c>
      <c r="F59" s="175">
        <v>1220</v>
      </c>
      <c r="G59" s="176">
        <v>0</v>
      </c>
      <c r="H59" s="18" t="s">
        <v>114</v>
      </c>
      <c r="I59" s="18" t="s">
        <v>113</v>
      </c>
    </row>
    <row r="60" spans="1:9">
      <c r="A60" s="173">
        <v>55</v>
      </c>
      <c r="B60" s="174" t="s">
        <v>62</v>
      </c>
      <c r="C60" s="174">
        <v>307</v>
      </c>
      <c r="D60" s="175">
        <v>1247</v>
      </c>
      <c r="E60" s="175">
        <v>1321</v>
      </c>
      <c r="F60" s="175">
        <v>1715</v>
      </c>
      <c r="G60" s="176">
        <v>72.72</v>
      </c>
      <c r="H60" s="18" t="s">
        <v>122</v>
      </c>
      <c r="I60" s="18" t="s">
        <v>113</v>
      </c>
    </row>
    <row r="61" spans="1:9">
      <c r="A61" s="173">
        <v>56</v>
      </c>
      <c r="B61" s="174" t="s">
        <v>62</v>
      </c>
      <c r="C61" s="174">
        <v>308</v>
      </c>
      <c r="D61" s="175">
        <v>1247</v>
      </c>
      <c r="E61" s="175">
        <v>1321</v>
      </c>
      <c r="F61" s="175">
        <v>1715</v>
      </c>
      <c r="G61" s="176">
        <v>72.72</v>
      </c>
      <c r="H61" s="18" t="s">
        <v>123</v>
      </c>
      <c r="I61" s="18" t="s">
        <v>113</v>
      </c>
    </row>
    <row r="62" spans="1:9">
      <c r="A62" s="173">
        <v>57</v>
      </c>
      <c r="B62" s="174" t="s">
        <v>62</v>
      </c>
      <c r="C62" s="174">
        <v>310</v>
      </c>
      <c r="D62" s="175">
        <v>1247</v>
      </c>
      <c r="E62" s="175">
        <v>1321</v>
      </c>
      <c r="F62" s="175">
        <v>1715</v>
      </c>
      <c r="G62" s="176">
        <v>72.72</v>
      </c>
      <c r="H62" s="18" t="s">
        <v>25</v>
      </c>
      <c r="I62" s="18" t="s">
        <v>113</v>
      </c>
    </row>
    <row r="63" spans="1:9">
      <c r="A63" s="173">
        <v>58</v>
      </c>
      <c r="B63" s="174" t="s">
        <v>62</v>
      </c>
      <c r="C63" s="174">
        <v>313</v>
      </c>
      <c r="D63" s="175">
        <v>0</v>
      </c>
      <c r="E63" s="175">
        <v>0</v>
      </c>
      <c r="F63" s="175">
        <v>1220</v>
      </c>
      <c r="G63" s="176">
        <v>0</v>
      </c>
      <c r="H63" s="18" t="s">
        <v>124</v>
      </c>
      <c r="I63" s="18" t="s">
        <v>113</v>
      </c>
    </row>
    <row r="64" spans="1:9">
      <c r="A64" s="173">
        <v>59</v>
      </c>
      <c r="B64" s="174" t="s">
        <v>62</v>
      </c>
      <c r="C64" s="174">
        <v>406</v>
      </c>
      <c r="D64" s="175">
        <v>1247</v>
      </c>
      <c r="E64" s="175">
        <v>1321</v>
      </c>
      <c r="F64" s="175">
        <v>1715</v>
      </c>
      <c r="G64" s="176">
        <v>72.72</v>
      </c>
      <c r="H64" s="18" t="s">
        <v>125</v>
      </c>
      <c r="I64" s="18" t="s">
        <v>113</v>
      </c>
    </row>
    <row r="65" spans="1:9">
      <c r="A65" s="173">
        <v>60</v>
      </c>
      <c r="B65" s="174" t="s">
        <v>62</v>
      </c>
      <c r="C65" s="174">
        <v>408</v>
      </c>
      <c r="D65" s="175">
        <v>1247</v>
      </c>
      <c r="E65" s="175">
        <v>1321</v>
      </c>
      <c r="F65" s="177">
        <v>1715</v>
      </c>
      <c r="G65" s="176">
        <v>72.72</v>
      </c>
      <c r="H65" s="18" t="s">
        <v>126</v>
      </c>
      <c r="I65" s="18" t="s">
        <v>113</v>
      </c>
    </row>
    <row r="66" spans="1:9">
      <c r="A66" s="173">
        <v>61</v>
      </c>
      <c r="B66" s="174" t="s">
        <v>62</v>
      </c>
      <c r="C66" s="174">
        <v>409</v>
      </c>
      <c r="D66" s="175">
        <v>1247</v>
      </c>
      <c r="E66" s="175">
        <v>1321</v>
      </c>
      <c r="F66" s="177">
        <v>1715</v>
      </c>
      <c r="G66" s="176">
        <v>72.72</v>
      </c>
      <c r="H66" s="18" t="s">
        <v>127</v>
      </c>
      <c r="I66" s="18" t="s">
        <v>113</v>
      </c>
    </row>
    <row r="67" spans="1:9">
      <c r="A67" s="173">
        <v>62</v>
      </c>
      <c r="B67" s="174" t="s">
        <v>62</v>
      </c>
      <c r="C67" s="174">
        <v>411</v>
      </c>
      <c r="D67" s="175">
        <v>1247</v>
      </c>
      <c r="E67" s="175">
        <v>1321</v>
      </c>
      <c r="F67" s="177">
        <v>1715</v>
      </c>
      <c r="G67" s="176">
        <v>72.72</v>
      </c>
      <c r="H67" s="18" t="s">
        <v>128</v>
      </c>
      <c r="I67" s="18" t="s">
        <v>113</v>
      </c>
    </row>
    <row r="68" spans="1:9">
      <c r="A68" s="173">
        <v>63</v>
      </c>
      <c r="B68" s="174" t="s">
        <v>62</v>
      </c>
      <c r="C68" s="174">
        <v>412</v>
      </c>
      <c r="D68" s="175">
        <v>1247</v>
      </c>
      <c r="E68" s="175">
        <v>1321</v>
      </c>
      <c r="F68" s="177">
        <v>1715</v>
      </c>
      <c r="G68" s="176">
        <v>72.72</v>
      </c>
      <c r="H68" s="18" t="s">
        <v>129</v>
      </c>
      <c r="I68" s="18" t="s">
        <v>113</v>
      </c>
    </row>
    <row r="69" spans="1:9">
      <c r="A69" s="173">
        <v>64</v>
      </c>
      <c r="B69" s="174" t="s">
        <v>62</v>
      </c>
      <c r="C69" s="174">
        <v>506</v>
      </c>
      <c r="D69" s="175">
        <v>1247</v>
      </c>
      <c r="E69" s="175">
        <v>1321</v>
      </c>
      <c r="F69" s="175">
        <v>1715</v>
      </c>
      <c r="G69" s="176">
        <v>72.72</v>
      </c>
      <c r="H69" s="18" t="s">
        <v>130</v>
      </c>
      <c r="I69" s="18" t="s">
        <v>113</v>
      </c>
    </row>
    <row r="70" spans="1:9">
      <c r="A70" s="173">
        <v>65</v>
      </c>
      <c r="B70" s="174" t="s">
        <v>62</v>
      </c>
      <c r="C70" s="174">
        <v>509</v>
      </c>
      <c r="D70" s="175">
        <v>1247</v>
      </c>
      <c r="E70" s="175">
        <v>1321</v>
      </c>
      <c r="F70" s="175">
        <v>1715</v>
      </c>
      <c r="G70" s="176">
        <v>72.72</v>
      </c>
      <c r="H70" s="18" t="s">
        <v>131</v>
      </c>
      <c r="I70" s="18" t="s">
        <v>113</v>
      </c>
    </row>
    <row r="71" spans="1:9">
      <c r="A71" s="173">
        <v>66</v>
      </c>
      <c r="B71" s="174" t="s">
        <v>62</v>
      </c>
      <c r="C71" s="174">
        <v>512</v>
      </c>
      <c r="D71" s="175">
        <v>1247</v>
      </c>
      <c r="E71" s="175">
        <v>1321</v>
      </c>
      <c r="F71" s="177">
        <v>1715</v>
      </c>
      <c r="G71" s="176">
        <v>72.72</v>
      </c>
      <c r="H71" s="18" t="s">
        <v>132</v>
      </c>
      <c r="I71" s="18" t="s">
        <v>113</v>
      </c>
    </row>
    <row r="72" spans="1:9">
      <c r="A72" s="173">
        <v>67</v>
      </c>
      <c r="B72" s="174" t="s">
        <v>62</v>
      </c>
      <c r="C72" s="174">
        <v>513</v>
      </c>
      <c r="D72" s="175">
        <v>0</v>
      </c>
      <c r="E72" s="175">
        <v>0</v>
      </c>
      <c r="F72" s="175">
        <v>1220</v>
      </c>
      <c r="G72" s="176">
        <v>0</v>
      </c>
      <c r="H72" s="138" t="s">
        <v>133</v>
      </c>
      <c r="I72" s="18" t="s">
        <v>113</v>
      </c>
    </row>
    <row r="73" spans="1:9">
      <c r="A73" s="173">
        <v>68</v>
      </c>
      <c r="B73" s="174" t="s">
        <v>62</v>
      </c>
      <c r="C73" s="174">
        <v>607</v>
      </c>
      <c r="D73" s="175">
        <v>1247</v>
      </c>
      <c r="E73" s="175">
        <v>1321</v>
      </c>
      <c r="F73" s="175">
        <v>1715</v>
      </c>
      <c r="G73" s="176">
        <v>72.72</v>
      </c>
      <c r="H73" s="18" t="s">
        <v>134</v>
      </c>
      <c r="I73" s="18" t="s">
        <v>113</v>
      </c>
    </row>
    <row r="74" spans="1:9">
      <c r="A74" s="173">
        <v>69</v>
      </c>
      <c r="B74" s="174" t="s">
        <v>62</v>
      </c>
      <c r="C74" s="174">
        <v>608</v>
      </c>
      <c r="D74" s="175">
        <v>1247</v>
      </c>
      <c r="E74" s="175">
        <v>1321</v>
      </c>
      <c r="F74" s="177">
        <v>1715</v>
      </c>
      <c r="G74" s="176">
        <v>72.72</v>
      </c>
      <c r="H74" s="18" t="s">
        <v>135</v>
      </c>
      <c r="I74" s="18" t="s">
        <v>113</v>
      </c>
    </row>
    <row r="75" spans="1:9">
      <c r="A75" s="173">
        <v>70</v>
      </c>
      <c r="B75" s="174" t="s">
        <v>62</v>
      </c>
      <c r="C75" s="174">
        <v>610</v>
      </c>
      <c r="D75" s="175">
        <v>1247</v>
      </c>
      <c r="E75" s="175">
        <v>1321</v>
      </c>
      <c r="F75" s="175">
        <v>1715</v>
      </c>
      <c r="G75" s="176">
        <v>72.72</v>
      </c>
      <c r="H75" s="18" t="s">
        <v>136</v>
      </c>
      <c r="I75" s="18" t="s">
        <v>113</v>
      </c>
    </row>
    <row r="76" spans="1:9">
      <c r="A76" s="173">
        <v>71</v>
      </c>
      <c r="B76" s="174" t="s">
        <v>62</v>
      </c>
      <c r="C76" s="174">
        <v>611</v>
      </c>
      <c r="D76" s="175">
        <v>1247</v>
      </c>
      <c r="E76" s="175">
        <v>1321</v>
      </c>
      <c r="F76" s="175">
        <v>1715</v>
      </c>
      <c r="G76" s="176">
        <v>72.72</v>
      </c>
      <c r="H76" s="18" t="s">
        <v>25</v>
      </c>
      <c r="I76" s="18" t="s">
        <v>113</v>
      </c>
    </row>
    <row r="77" spans="1:9">
      <c r="A77" s="173">
        <v>72</v>
      </c>
      <c r="B77" s="174" t="s">
        <v>62</v>
      </c>
      <c r="C77" s="174">
        <v>706</v>
      </c>
      <c r="D77" s="175">
        <v>1247</v>
      </c>
      <c r="E77" s="175">
        <v>1321</v>
      </c>
      <c r="F77" s="175">
        <v>1715</v>
      </c>
      <c r="G77" s="176">
        <v>72.72</v>
      </c>
      <c r="H77" s="18" t="s">
        <v>25</v>
      </c>
      <c r="I77" s="18" t="s">
        <v>113</v>
      </c>
    </row>
    <row r="78" spans="1:9">
      <c r="A78" s="173">
        <v>73</v>
      </c>
      <c r="B78" s="174" t="s">
        <v>62</v>
      </c>
      <c r="C78" s="174">
        <v>708</v>
      </c>
      <c r="D78" s="175">
        <v>1247</v>
      </c>
      <c r="E78" s="175">
        <v>1321</v>
      </c>
      <c r="F78" s="175">
        <v>1715</v>
      </c>
      <c r="G78" s="176">
        <v>72.72</v>
      </c>
      <c r="H78" s="18" t="s">
        <v>134</v>
      </c>
      <c r="I78" s="18" t="s">
        <v>113</v>
      </c>
    </row>
    <row r="79" spans="1:9">
      <c r="A79" s="173">
        <v>74</v>
      </c>
      <c r="B79" s="174" t="s">
        <v>62</v>
      </c>
      <c r="C79" s="174">
        <v>709</v>
      </c>
      <c r="D79" s="175">
        <v>1247</v>
      </c>
      <c r="E79" s="175">
        <v>1321</v>
      </c>
      <c r="F79" s="177">
        <v>1715</v>
      </c>
      <c r="G79" s="176">
        <v>72.72</v>
      </c>
      <c r="H79" s="18" t="s">
        <v>137</v>
      </c>
      <c r="I79" s="18" t="s">
        <v>113</v>
      </c>
    </row>
    <row r="80" spans="1:9">
      <c r="A80" s="173">
        <v>75</v>
      </c>
      <c r="B80" s="174" t="s">
        <v>62</v>
      </c>
      <c r="C80" s="174">
        <v>711</v>
      </c>
      <c r="D80" s="175">
        <v>1247</v>
      </c>
      <c r="E80" s="175">
        <v>1321</v>
      </c>
      <c r="F80" s="175">
        <v>1715</v>
      </c>
      <c r="G80" s="176">
        <v>72.72</v>
      </c>
      <c r="H80" s="18" t="s">
        <v>138</v>
      </c>
      <c r="I80" s="18" t="s">
        <v>113</v>
      </c>
    </row>
    <row r="81" spans="1:9">
      <c r="A81" s="173">
        <v>76</v>
      </c>
      <c r="B81" s="174" t="s">
        <v>62</v>
      </c>
      <c r="C81" s="174">
        <v>712</v>
      </c>
      <c r="D81" s="175">
        <v>1247</v>
      </c>
      <c r="E81" s="175">
        <v>1321</v>
      </c>
      <c r="F81" s="175">
        <v>1715</v>
      </c>
      <c r="G81" s="176">
        <v>72.72</v>
      </c>
      <c r="H81" s="18" t="s">
        <v>139</v>
      </c>
      <c r="I81" s="18" t="s">
        <v>113</v>
      </c>
    </row>
    <row r="82" spans="1:9">
      <c r="A82" s="101"/>
      <c r="B82" s="108" t="s">
        <v>94</v>
      </c>
      <c r="C82" s="108"/>
      <c r="D82" s="179">
        <f>SUM(D6:D81)</f>
        <v>67338</v>
      </c>
      <c r="E82" s="179">
        <f>SUM(E6:E81)</f>
        <v>71334</v>
      </c>
      <c r="F82" s="180">
        <f>SUM(F6:F81)</f>
        <v>132500</v>
      </c>
      <c r="G82" s="160"/>
      <c r="H82" s="160"/>
      <c r="I82" s="159"/>
    </row>
  </sheetData>
  <printOptions gridLines="1"/>
  <pageMargins left="0.708661417322835" right="0.708661417322835" top="0.748031496062992" bottom="0.748031496062992" header="0.31496062992126" footer="0.31496062992126"/>
  <pageSetup paperSize="9" scale="85" orientation="portrait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G17" sqref="G17"/>
    </sheetView>
  </sheetViews>
  <sheetFormatPr defaultColWidth="9.14285714285714" defaultRowHeight="15"/>
  <cols>
    <col min="1" max="1" width="9.14285714285714" style="18"/>
    <col min="2" max="2" width="30.4285714285714" style="18" customWidth="1"/>
    <col min="3" max="4" width="12.1428571428571" style="18" customWidth="1"/>
    <col min="5" max="8" width="12.1428571428571" style="99" customWidth="1"/>
    <col min="9" max="11" width="12.1428571428571" style="18" customWidth="1"/>
    <col min="12" max="256" width="9.14285714285714" style="18"/>
  </cols>
  <sheetData>
    <row r="1" spans="1:9">
      <c r="A1" s="98" t="s">
        <v>0</v>
      </c>
      <c r="C1" s="18" t="s">
        <v>1</v>
      </c>
      <c r="E1" s="98" t="s">
        <v>2</v>
      </c>
      <c r="F1" s="18" t="s">
        <v>3</v>
      </c>
      <c r="G1" s="18"/>
      <c r="I1" s="99"/>
    </row>
    <row r="2" spans="1:9">
      <c r="A2" s="98" t="s">
        <v>4</v>
      </c>
      <c r="C2" s="18" t="s">
        <v>5</v>
      </c>
      <c r="E2" s="98" t="s">
        <v>6</v>
      </c>
      <c r="F2" s="100">
        <v>44422</v>
      </c>
      <c r="G2" s="18"/>
      <c r="I2" s="99"/>
    </row>
    <row r="3" spans="1:9">
      <c r="A3" s="98" t="s">
        <v>7</v>
      </c>
      <c r="E3" s="98" t="s">
        <v>8</v>
      </c>
      <c r="F3" s="18" t="s">
        <v>9</v>
      </c>
      <c r="G3" s="18"/>
      <c r="I3" s="99"/>
    </row>
    <row r="5" spans="1:6">
      <c r="A5" s="108" t="s">
        <v>10</v>
      </c>
      <c r="B5" s="108" t="s">
        <v>11</v>
      </c>
      <c r="C5" s="159" t="s">
        <v>140</v>
      </c>
      <c r="D5" s="160" t="s">
        <v>141</v>
      </c>
      <c r="E5" s="159" t="s">
        <v>140</v>
      </c>
      <c r="F5" s="160" t="s">
        <v>141</v>
      </c>
    </row>
    <row r="6" spans="1:6">
      <c r="A6" s="161">
        <v>1</v>
      </c>
      <c r="B6" s="18" t="s">
        <v>142</v>
      </c>
      <c r="C6" s="162">
        <v>8099.63</v>
      </c>
      <c r="D6" s="163" t="s">
        <v>143</v>
      </c>
      <c r="E6" s="163">
        <f>C6/4047</f>
        <v>2.00139115394119</v>
      </c>
      <c r="F6" s="163" t="s">
        <v>144</v>
      </c>
    </row>
    <row r="7" spans="1:6">
      <c r="A7" s="161">
        <v>2</v>
      </c>
      <c r="B7" s="18" t="s">
        <v>145</v>
      </c>
      <c r="C7" s="162">
        <v>7340.89</v>
      </c>
      <c r="D7" s="163" t="s">
        <v>143</v>
      </c>
      <c r="E7" s="163">
        <v>8779.63</v>
      </c>
      <c r="F7" s="163" t="s">
        <v>146</v>
      </c>
    </row>
    <row r="8" spans="1:6">
      <c r="A8" s="161">
        <v>3</v>
      </c>
      <c r="B8" s="18" t="s">
        <v>147</v>
      </c>
      <c r="C8" s="162" t="s">
        <v>148</v>
      </c>
      <c r="D8" s="163"/>
      <c r="E8" s="163">
        <v>0</v>
      </c>
      <c r="F8" s="163">
        <v>0</v>
      </c>
    </row>
    <row r="9" spans="1:6">
      <c r="A9" s="161">
        <v>4</v>
      </c>
      <c r="B9" s="18" t="s">
        <v>149</v>
      </c>
      <c r="C9" s="162">
        <v>119</v>
      </c>
      <c r="D9" s="163" t="s">
        <v>150</v>
      </c>
      <c r="E9" s="163">
        <v>0</v>
      </c>
      <c r="F9" s="163">
        <v>0</v>
      </c>
    </row>
    <row r="10" spans="1:6">
      <c r="A10" s="161">
        <v>5</v>
      </c>
      <c r="B10" s="18" t="s">
        <v>151</v>
      </c>
      <c r="C10" s="164" t="s">
        <v>152</v>
      </c>
      <c r="D10" s="163"/>
      <c r="E10" s="163">
        <v>0</v>
      </c>
      <c r="F10" s="163">
        <v>0</v>
      </c>
    </row>
    <row r="11" spans="1:6">
      <c r="A11" s="161">
        <v>6</v>
      </c>
      <c r="B11" s="18" t="s">
        <v>153</v>
      </c>
      <c r="C11" s="165"/>
      <c r="D11" s="163"/>
      <c r="E11" s="163">
        <v>0</v>
      </c>
      <c r="F11" s="163">
        <v>0</v>
      </c>
    </row>
    <row r="12" spans="1:6">
      <c r="A12" s="161">
        <v>7</v>
      </c>
      <c r="B12" s="18" t="s">
        <v>154</v>
      </c>
      <c r="C12" s="166" t="s">
        <v>155</v>
      </c>
      <c r="D12" s="163"/>
      <c r="E12" s="163">
        <v>0</v>
      </c>
      <c r="F12" s="163">
        <v>0</v>
      </c>
    </row>
    <row r="13" spans="1:6">
      <c r="A13" s="161">
        <v>8</v>
      </c>
      <c r="B13" s="18" t="s">
        <v>156</v>
      </c>
      <c r="C13" s="164" t="s">
        <v>157</v>
      </c>
      <c r="D13" s="163"/>
      <c r="E13" s="163">
        <v>0</v>
      </c>
      <c r="F13" s="163">
        <v>0</v>
      </c>
    </row>
    <row r="14" spans="1:6">
      <c r="A14" s="161">
        <v>9</v>
      </c>
      <c r="B14" s="18" t="s">
        <v>158</v>
      </c>
      <c r="C14" s="162">
        <v>43</v>
      </c>
      <c r="D14" s="163" t="s">
        <v>150</v>
      </c>
      <c r="E14" s="163">
        <v>0</v>
      </c>
      <c r="F14" s="163">
        <v>0</v>
      </c>
    </row>
    <row r="15" spans="1:6">
      <c r="A15" s="161">
        <v>10</v>
      </c>
      <c r="B15" s="18" t="s">
        <v>159</v>
      </c>
      <c r="C15" s="162">
        <v>76</v>
      </c>
      <c r="D15" s="163" t="s">
        <v>150</v>
      </c>
      <c r="E15" s="163">
        <v>0</v>
      </c>
      <c r="F15" s="163">
        <v>0</v>
      </c>
    </row>
    <row r="16" spans="1:6">
      <c r="A16" s="161">
        <v>11</v>
      </c>
      <c r="B16" s="18" t="s">
        <v>160</v>
      </c>
      <c r="C16" s="162">
        <v>19236.5</v>
      </c>
      <c r="D16" s="163" t="s">
        <v>161</v>
      </c>
      <c r="E16" s="64">
        <v>207060</v>
      </c>
      <c r="F16" s="163" t="s">
        <v>162</v>
      </c>
    </row>
    <row r="17" spans="1:6">
      <c r="A17" s="161">
        <v>12</v>
      </c>
      <c r="B17" s="18" t="s">
        <v>163</v>
      </c>
      <c r="C17" s="162"/>
      <c r="D17" s="163" t="s">
        <v>161</v>
      </c>
      <c r="E17" s="64">
        <f>'Project Estimate'!B3</f>
        <v>132500</v>
      </c>
      <c r="F17" s="163" t="s">
        <v>162</v>
      </c>
    </row>
    <row r="18" spans="1:6">
      <c r="A18" s="161">
        <v>13</v>
      </c>
      <c r="B18" s="18" t="s">
        <v>164</v>
      </c>
      <c r="C18" s="162">
        <v>6491.45</v>
      </c>
      <c r="D18" s="163" t="s">
        <v>161</v>
      </c>
      <c r="E18" s="64">
        <v>69873.38</v>
      </c>
      <c r="F18" s="163" t="s">
        <v>162</v>
      </c>
    </row>
    <row r="19" spans="1:6">
      <c r="A19" s="161">
        <v>14</v>
      </c>
      <c r="B19" s="18" t="s">
        <v>165</v>
      </c>
      <c r="C19" s="167">
        <v>0</v>
      </c>
      <c r="D19" s="99" t="s">
        <v>161</v>
      </c>
      <c r="E19" s="99">
        <v>0</v>
      </c>
      <c r="F19" s="99" t="s">
        <v>166</v>
      </c>
    </row>
    <row r="21" spans="1:6">
      <c r="A21" s="108" t="s">
        <v>167</v>
      </c>
      <c r="B21" s="108"/>
      <c r="C21" s="108"/>
      <c r="D21" s="108" t="s">
        <v>168</v>
      </c>
      <c r="E21" s="160"/>
      <c r="F21" s="160"/>
    </row>
    <row r="22" spans="1:4">
      <c r="A22" s="18">
        <v>1</v>
      </c>
      <c r="B22" s="18" t="s">
        <v>169</v>
      </c>
      <c r="D22" s="18">
        <v>0</v>
      </c>
    </row>
    <row r="23" spans="1:4">
      <c r="A23" s="18">
        <v>2</v>
      </c>
      <c r="B23" s="18" t="s">
        <v>170</v>
      </c>
      <c r="D23" s="18">
        <v>119</v>
      </c>
    </row>
    <row r="24" spans="1:4">
      <c r="A24" s="18">
        <v>3</v>
      </c>
      <c r="B24" s="18" t="s">
        <v>171</v>
      </c>
      <c r="D24" s="18">
        <v>0</v>
      </c>
    </row>
    <row r="25" spans="1:4">
      <c r="A25" s="18">
        <v>4</v>
      </c>
      <c r="B25" s="18" t="s">
        <v>172</v>
      </c>
      <c r="D25" s="18">
        <v>22</v>
      </c>
    </row>
    <row r="26" spans="1:4">
      <c r="A26" s="18">
        <v>5</v>
      </c>
      <c r="B26" s="18" t="s">
        <v>173</v>
      </c>
      <c r="D26" s="18">
        <v>97</v>
      </c>
    </row>
    <row r="27" spans="1:4">
      <c r="A27" s="18">
        <v>6</v>
      </c>
      <c r="B27" s="18" t="s">
        <v>174</v>
      </c>
      <c r="D27" s="18" t="s">
        <v>175</v>
      </c>
    </row>
    <row r="28" spans="1:4">
      <c r="A28" s="18">
        <v>7</v>
      </c>
      <c r="B28" s="18" t="s">
        <v>176</v>
      </c>
      <c r="D28" s="18" t="s">
        <v>175</v>
      </c>
    </row>
    <row r="29" spans="1:4">
      <c r="A29" s="18">
        <v>8</v>
      </c>
      <c r="B29" s="18" t="s">
        <v>177</v>
      </c>
      <c r="D29" s="18" t="s">
        <v>25</v>
      </c>
    </row>
    <row r="30" spans="1:4">
      <c r="A30" s="18">
        <v>9</v>
      </c>
      <c r="B30" s="18" t="s">
        <v>178</v>
      </c>
      <c r="D30" s="168" t="s">
        <v>25</v>
      </c>
    </row>
    <row r="31" spans="1:4">
      <c r="A31" s="18">
        <v>10</v>
      </c>
      <c r="B31" s="18" t="s">
        <v>179</v>
      </c>
      <c r="D31" s="18" t="s">
        <v>25</v>
      </c>
    </row>
  </sheetData>
  <printOptions gridLines="1"/>
  <pageMargins left="0.7" right="0.7" top="0.75" bottom="0.75" header="0.3" footer="0.3"/>
  <pageSetup paperSize="9" orientation="landscape"/>
  <headerFooter>
    <oddHeader>&amp;C&amp;F - 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0" zoomScaleNormal="110" workbookViewId="0">
      <selection activeCell="O8" sqref="O8"/>
    </sheetView>
  </sheetViews>
  <sheetFormatPr defaultColWidth="9.14285714285714" defaultRowHeight="12.75"/>
  <cols>
    <col min="1" max="1" width="5.28571428571429" style="3" customWidth="1"/>
    <col min="2" max="3" width="6.71428571428571" style="3" customWidth="1"/>
    <col min="4" max="4" width="6.71428571428571" style="36" customWidth="1"/>
    <col min="5" max="5" width="33.2095238095238" style="36" customWidth="1"/>
    <col min="6" max="6" width="11" style="132" customWidth="1"/>
    <col min="7" max="7" width="12.8571428571429" style="3" customWidth="1"/>
    <col min="8" max="9" width="10.7142857142857" style="36" hidden="1" customWidth="1"/>
    <col min="10" max="10" width="12.7142857142857" style="36" customWidth="1"/>
    <col min="11" max="14" width="10.7142857142857" style="3" customWidth="1"/>
    <col min="15" max="15" width="9.28571428571429" style="3"/>
    <col min="16" max="257" width="9.14285714285714" style="3"/>
    <col min="258" max="16384" width="9.14285714285714" style="133"/>
  </cols>
  <sheetData>
    <row r="1" spans="1:12">
      <c r="A1" s="3" t="s">
        <v>0</v>
      </c>
      <c r="E1" s="133" t="s">
        <v>1</v>
      </c>
      <c r="F1" s="3" t="s">
        <v>2</v>
      </c>
      <c r="H1" s="3"/>
      <c r="I1" s="133"/>
      <c r="J1" s="18" t="s">
        <v>3</v>
      </c>
      <c r="K1" s="36"/>
      <c r="L1" s="36"/>
    </row>
    <row r="2" spans="1:12">
      <c r="A2" s="3" t="s">
        <v>4</v>
      </c>
      <c r="E2" s="133" t="s">
        <v>5</v>
      </c>
      <c r="F2" s="3" t="s">
        <v>6</v>
      </c>
      <c r="H2" s="3"/>
      <c r="I2" s="133"/>
      <c r="J2" s="100">
        <v>44422</v>
      </c>
      <c r="K2" s="36"/>
      <c r="L2" s="36"/>
    </row>
    <row r="3" spans="1:12">
      <c r="A3" s="3" t="s">
        <v>180</v>
      </c>
      <c r="E3" s="134"/>
      <c r="F3" s="3" t="s">
        <v>181</v>
      </c>
      <c r="H3" s="3"/>
      <c r="I3" s="133"/>
      <c r="J3" s="18" t="s">
        <v>9</v>
      </c>
      <c r="K3" s="36"/>
      <c r="L3" s="36"/>
    </row>
    <row r="5" s="131" customFormat="1" ht="51" spans="1:14">
      <c r="A5" s="135" t="s">
        <v>182</v>
      </c>
      <c r="B5" s="135" t="s">
        <v>183</v>
      </c>
      <c r="C5" s="135" t="s">
        <v>184</v>
      </c>
      <c r="D5" s="135" t="s">
        <v>185</v>
      </c>
      <c r="E5" s="135" t="s">
        <v>186</v>
      </c>
      <c r="F5" s="136" t="s">
        <v>187</v>
      </c>
      <c r="G5" s="135" t="s">
        <v>188</v>
      </c>
      <c r="H5" s="137" t="s">
        <v>189</v>
      </c>
      <c r="I5" s="137" t="s">
        <v>190</v>
      </c>
      <c r="J5" s="137" t="s">
        <v>191</v>
      </c>
      <c r="K5" s="137" t="s">
        <v>192</v>
      </c>
      <c r="L5" s="137" t="s">
        <v>193</v>
      </c>
      <c r="M5" s="137" t="s">
        <v>194</v>
      </c>
      <c r="N5" s="135" t="s">
        <v>195</v>
      </c>
    </row>
    <row r="6" spans="1:15">
      <c r="A6" s="35">
        <v>1</v>
      </c>
      <c r="B6" s="138" t="s">
        <v>196</v>
      </c>
      <c r="C6" s="3">
        <v>1715</v>
      </c>
      <c r="D6" s="17">
        <f t="shared" ref="D6:D11" si="0">G6/C6</f>
        <v>4133.527696793</v>
      </c>
      <c r="E6" s="138" t="s">
        <v>116</v>
      </c>
      <c r="F6" s="139">
        <v>44196</v>
      </c>
      <c r="G6" s="140">
        <v>7089000</v>
      </c>
      <c r="H6" s="36">
        <v>0</v>
      </c>
      <c r="I6" s="36">
        <v>0</v>
      </c>
      <c r="J6" s="17">
        <v>0</v>
      </c>
      <c r="K6" s="17">
        <v>1314000</v>
      </c>
      <c r="L6" s="17">
        <f>686000</f>
        <v>686000</v>
      </c>
      <c r="M6" s="17">
        <f>SUM(H6:L6)</f>
        <v>2000000</v>
      </c>
      <c r="N6" s="17">
        <f t="shared" ref="N6:N11" si="1">G6-M6</f>
        <v>5089000</v>
      </c>
      <c r="O6" s="47"/>
    </row>
    <row r="7" spans="1:15">
      <c r="A7" s="35">
        <v>2</v>
      </c>
      <c r="B7" s="138" t="s">
        <v>197</v>
      </c>
      <c r="C7" s="3">
        <v>1715</v>
      </c>
      <c r="D7" s="17">
        <f t="shared" si="0"/>
        <v>3634.40233236152</v>
      </c>
      <c r="E7" s="138" t="s">
        <v>119</v>
      </c>
      <c r="F7" s="139">
        <v>43821</v>
      </c>
      <c r="G7" s="140">
        <v>6233000</v>
      </c>
      <c r="H7" s="36">
        <v>0</v>
      </c>
      <c r="I7" s="36">
        <v>0</v>
      </c>
      <c r="J7" s="17">
        <v>1185000</v>
      </c>
      <c r="K7" s="17">
        <v>0</v>
      </c>
      <c r="L7" s="17">
        <f>2339000</f>
        <v>2339000</v>
      </c>
      <c r="M7" s="17">
        <f t="shared" ref="M7:M33" si="2">SUM(H7:L7)</f>
        <v>3524000</v>
      </c>
      <c r="N7" s="17">
        <f t="shared" si="1"/>
        <v>2709000</v>
      </c>
      <c r="O7" s="47"/>
    </row>
    <row r="8" spans="1:15">
      <c r="A8" s="35">
        <v>3</v>
      </c>
      <c r="B8" s="3" t="s">
        <v>198</v>
      </c>
      <c r="C8" s="3">
        <v>1715</v>
      </c>
      <c r="D8" s="17">
        <f t="shared" si="0"/>
        <v>3731.77842565598</v>
      </c>
      <c r="E8" s="3" t="s">
        <v>120</v>
      </c>
      <c r="F8" s="139">
        <v>43884</v>
      </c>
      <c r="G8" s="17">
        <v>6400000</v>
      </c>
      <c r="H8" s="36">
        <v>0</v>
      </c>
      <c r="I8" s="36">
        <v>0</v>
      </c>
      <c r="J8" s="17">
        <v>25000</v>
      </c>
      <c r="K8" s="17">
        <f>200000+3470000+1465000</f>
        <v>5135000</v>
      </c>
      <c r="L8" s="17">
        <v>0</v>
      </c>
      <c r="M8" s="17">
        <f t="shared" si="2"/>
        <v>5160000</v>
      </c>
      <c r="N8" s="17">
        <f t="shared" si="1"/>
        <v>1240000</v>
      </c>
      <c r="O8" s="47"/>
    </row>
    <row r="9" spans="1:15">
      <c r="A9" s="35">
        <v>4</v>
      </c>
      <c r="B9" s="138" t="s">
        <v>199</v>
      </c>
      <c r="C9" s="3">
        <v>1715</v>
      </c>
      <c r="D9" s="17">
        <f t="shared" si="0"/>
        <v>3634.40233236152</v>
      </c>
      <c r="E9" s="138" t="s">
        <v>122</v>
      </c>
      <c r="F9" s="139">
        <v>43769</v>
      </c>
      <c r="G9" s="140">
        <v>6233000</v>
      </c>
      <c r="H9" s="36">
        <v>0</v>
      </c>
      <c r="I9" s="36">
        <v>0</v>
      </c>
      <c r="J9" s="17">
        <v>1160000</v>
      </c>
      <c r="K9" s="17">
        <v>623000</v>
      </c>
      <c r="L9" s="17">
        <f>500000</f>
        <v>500000</v>
      </c>
      <c r="M9" s="17">
        <f t="shared" si="2"/>
        <v>2283000</v>
      </c>
      <c r="N9" s="17">
        <f t="shared" si="1"/>
        <v>3950000</v>
      </c>
      <c r="O9" s="47"/>
    </row>
    <row r="10" spans="1:15">
      <c r="A10" s="35">
        <v>5</v>
      </c>
      <c r="B10" s="138" t="s">
        <v>200</v>
      </c>
      <c r="C10" s="3">
        <v>1715</v>
      </c>
      <c r="D10" s="17">
        <f t="shared" si="0"/>
        <v>3784.25655976676</v>
      </c>
      <c r="E10" s="138" t="s">
        <v>123</v>
      </c>
      <c r="F10" s="139">
        <v>44011</v>
      </c>
      <c r="G10" s="140">
        <v>6490000</v>
      </c>
      <c r="H10" s="36">
        <v>0</v>
      </c>
      <c r="I10" s="36">
        <v>0</v>
      </c>
      <c r="J10" s="36">
        <v>0</v>
      </c>
      <c r="K10" s="17">
        <v>677000</v>
      </c>
      <c r="L10" s="17">
        <f>1406000</f>
        <v>1406000</v>
      </c>
      <c r="M10" s="17">
        <f t="shared" si="2"/>
        <v>2083000</v>
      </c>
      <c r="N10" s="17">
        <f t="shared" si="1"/>
        <v>4407000</v>
      </c>
      <c r="O10" s="47"/>
    </row>
    <row r="11" spans="1:15">
      <c r="A11" s="35">
        <v>6</v>
      </c>
      <c r="B11" s="138" t="s">
        <v>201</v>
      </c>
      <c r="C11" s="3">
        <v>1220</v>
      </c>
      <c r="D11" s="17">
        <f t="shared" si="0"/>
        <v>4180.32786885246</v>
      </c>
      <c r="E11" s="138" t="s">
        <v>124</v>
      </c>
      <c r="F11" s="139">
        <v>44099</v>
      </c>
      <c r="G11" s="140">
        <v>5100000</v>
      </c>
      <c r="J11" s="36">
        <v>0</v>
      </c>
      <c r="K11" s="17">
        <f>25000+1340000+700000</f>
        <v>2065000</v>
      </c>
      <c r="L11" s="17">
        <f>2330000</f>
        <v>2330000</v>
      </c>
      <c r="M11" s="17">
        <f t="shared" si="2"/>
        <v>4395000</v>
      </c>
      <c r="N11" s="17">
        <f t="shared" si="1"/>
        <v>705000</v>
      </c>
      <c r="O11" s="47"/>
    </row>
    <row r="12" spans="1:15">
      <c r="A12" s="35">
        <v>7</v>
      </c>
      <c r="B12" s="138" t="s">
        <v>202</v>
      </c>
      <c r="C12" s="3">
        <v>1715</v>
      </c>
      <c r="D12" s="17">
        <f t="shared" ref="D12:D31" si="3">G12/C12</f>
        <v>3731.77842565598</v>
      </c>
      <c r="E12" s="138" t="s">
        <v>125</v>
      </c>
      <c r="F12" s="139">
        <v>43861</v>
      </c>
      <c r="G12" s="140">
        <v>6400000</v>
      </c>
      <c r="H12" s="36">
        <v>0</v>
      </c>
      <c r="I12" s="36">
        <v>0</v>
      </c>
      <c r="J12" s="17">
        <v>1185000</v>
      </c>
      <c r="K12" s="17">
        <f>522000</f>
        <v>522000</v>
      </c>
      <c r="L12" s="17">
        <v>0</v>
      </c>
      <c r="M12" s="17">
        <f t="shared" si="2"/>
        <v>1707000</v>
      </c>
      <c r="N12" s="17">
        <f t="shared" ref="N12:N27" si="4">G12-M12</f>
        <v>4693000</v>
      </c>
      <c r="O12" s="47"/>
    </row>
    <row r="13" spans="1:15">
      <c r="A13" s="35">
        <v>8</v>
      </c>
      <c r="B13" s="138" t="s">
        <v>203</v>
      </c>
      <c r="C13" s="3">
        <v>1715</v>
      </c>
      <c r="D13" s="17">
        <f t="shared" si="3"/>
        <v>3634.40233236152</v>
      </c>
      <c r="E13" s="138" t="s">
        <v>126</v>
      </c>
      <c r="F13" s="139">
        <v>43768</v>
      </c>
      <c r="G13" s="140">
        <v>6233000</v>
      </c>
      <c r="H13" s="36">
        <v>0</v>
      </c>
      <c r="I13" s="36">
        <v>0</v>
      </c>
      <c r="J13" s="17">
        <v>1160000</v>
      </c>
      <c r="K13" s="17">
        <f>623000</f>
        <v>623000</v>
      </c>
      <c r="L13" s="17">
        <v>0</v>
      </c>
      <c r="M13" s="17">
        <f t="shared" si="2"/>
        <v>1783000</v>
      </c>
      <c r="N13" s="17">
        <f t="shared" si="4"/>
        <v>4450000</v>
      </c>
      <c r="O13" s="47"/>
    </row>
    <row r="14" spans="1:15">
      <c r="A14" s="35">
        <v>9</v>
      </c>
      <c r="B14" s="138" t="s">
        <v>204</v>
      </c>
      <c r="C14" s="3">
        <v>1715</v>
      </c>
      <c r="D14" s="17">
        <f t="shared" si="3"/>
        <v>3032.06997084548</v>
      </c>
      <c r="E14" s="138" t="s">
        <v>127</v>
      </c>
      <c r="F14" s="139">
        <v>43903</v>
      </c>
      <c r="G14" s="140">
        <v>5200000</v>
      </c>
      <c r="H14" s="36">
        <v>0</v>
      </c>
      <c r="I14" s="36">
        <v>0</v>
      </c>
      <c r="J14" s="17">
        <v>4860000</v>
      </c>
      <c r="K14" s="17">
        <v>340000</v>
      </c>
      <c r="L14" s="17">
        <v>0</v>
      </c>
      <c r="M14" s="17">
        <f t="shared" si="2"/>
        <v>5200000</v>
      </c>
      <c r="N14" s="17">
        <f t="shared" si="4"/>
        <v>0</v>
      </c>
      <c r="O14" s="47"/>
    </row>
    <row r="15" spans="1:15">
      <c r="A15" s="35">
        <v>10</v>
      </c>
      <c r="B15" s="138" t="s">
        <v>205</v>
      </c>
      <c r="C15" s="3">
        <v>1715</v>
      </c>
      <c r="D15" s="17">
        <f t="shared" si="3"/>
        <v>3723.61516034985</v>
      </c>
      <c r="E15" s="138" t="s">
        <v>128</v>
      </c>
      <c r="F15" s="139">
        <v>43984</v>
      </c>
      <c r="G15" s="140">
        <v>6386000</v>
      </c>
      <c r="H15" s="36">
        <v>0</v>
      </c>
      <c r="I15" s="36">
        <v>0</v>
      </c>
      <c r="J15" s="36">
        <v>0</v>
      </c>
      <c r="K15" s="17">
        <f>1695000+1786000+200000</f>
        <v>3681000</v>
      </c>
      <c r="L15" s="17">
        <v>0</v>
      </c>
      <c r="M15" s="17">
        <f t="shared" si="2"/>
        <v>3681000</v>
      </c>
      <c r="N15" s="17">
        <f t="shared" si="4"/>
        <v>2705000</v>
      </c>
      <c r="O15" s="47"/>
    </row>
    <row r="16" spans="1:15">
      <c r="A16" s="35">
        <v>11</v>
      </c>
      <c r="B16" s="138" t="s">
        <v>206</v>
      </c>
      <c r="C16" s="3">
        <v>1715</v>
      </c>
      <c r="D16" s="17">
        <f t="shared" si="3"/>
        <v>3634.40233236152</v>
      </c>
      <c r="E16" s="138" t="s">
        <v>129</v>
      </c>
      <c r="F16" s="139">
        <v>43768</v>
      </c>
      <c r="G16" s="140">
        <v>6233000</v>
      </c>
      <c r="H16" s="36">
        <v>0</v>
      </c>
      <c r="I16" s="36">
        <v>0</v>
      </c>
      <c r="J16" s="17">
        <v>1160000</v>
      </c>
      <c r="K16" s="17">
        <f>100000+100000+300000+123000+1725000</f>
        <v>2348000</v>
      </c>
      <c r="L16" s="17">
        <v>0</v>
      </c>
      <c r="M16" s="17">
        <f t="shared" si="2"/>
        <v>3508000</v>
      </c>
      <c r="N16" s="17">
        <f t="shared" si="4"/>
        <v>2725000</v>
      </c>
      <c r="O16" s="47"/>
    </row>
    <row r="17" spans="1:15">
      <c r="A17" s="35">
        <v>12</v>
      </c>
      <c r="B17" s="138" t="s">
        <v>207</v>
      </c>
      <c r="C17" s="3">
        <v>1715</v>
      </c>
      <c r="D17" s="17">
        <f t="shared" si="3"/>
        <v>3634.40233236152</v>
      </c>
      <c r="E17" s="138" t="s">
        <v>130</v>
      </c>
      <c r="F17" s="139">
        <v>43769</v>
      </c>
      <c r="G17" s="140">
        <v>6233000</v>
      </c>
      <c r="H17" s="36">
        <v>0</v>
      </c>
      <c r="I17" s="36">
        <v>0</v>
      </c>
      <c r="J17" s="17">
        <v>1160000</v>
      </c>
      <c r="K17" s="17">
        <f>623000</f>
        <v>623000</v>
      </c>
      <c r="L17" s="17">
        <v>0</v>
      </c>
      <c r="M17" s="17">
        <f t="shared" si="2"/>
        <v>1783000</v>
      </c>
      <c r="N17" s="17">
        <f t="shared" si="4"/>
        <v>4450000</v>
      </c>
      <c r="O17" s="47"/>
    </row>
    <row r="18" spans="1:15">
      <c r="A18" s="35">
        <v>13</v>
      </c>
      <c r="B18" s="138" t="s">
        <v>208</v>
      </c>
      <c r="C18" s="3">
        <v>1715</v>
      </c>
      <c r="D18" s="17">
        <f t="shared" si="3"/>
        <v>3032.06997084548</v>
      </c>
      <c r="E18" s="141" t="s">
        <v>131</v>
      </c>
      <c r="F18" s="142">
        <v>43903</v>
      </c>
      <c r="G18" s="143">
        <v>5200000</v>
      </c>
      <c r="H18" s="36">
        <v>0</v>
      </c>
      <c r="I18" s="36">
        <v>0</v>
      </c>
      <c r="J18" s="17">
        <v>4860000</v>
      </c>
      <c r="K18" s="17">
        <v>340000</v>
      </c>
      <c r="L18" s="17">
        <v>0</v>
      </c>
      <c r="M18" s="17">
        <f t="shared" si="2"/>
        <v>5200000</v>
      </c>
      <c r="N18" s="17">
        <f t="shared" si="4"/>
        <v>0</v>
      </c>
      <c r="O18" s="47"/>
    </row>
    <row r="19" spans="1:15">
      <c r="A19" s="35">
        <v>14</v>
      </c>
      <c r="B19" s="138" t="s">
        <v>209</v>
      </c>
      <c r="C19" s="3">
        <v>1715</v>
      </c>
      <c r="D19" s="17">
        <f t="shared" si="3"/>
        <v>3634.40233236152</v>
      </c>
      <c r="E19" s="138" t="s">
        <v>132</v>
      </c>
      <c r="F19" s="139">
        <v>43763</v>
      </c>
      <c r="G19" s="140">
        <v>6233000</v>
      </c>
      <c r="H19" s="36">
        <v>0</v>
      </c>
      <c r="I19" s="36">
        <v>0</v>
      </c>
      <c r="J19" s="17">
        <v>225000</v>
      </c>
      <c r="K19" s="17">
        <f>148500+1408375</f>
        <v>1556875</v>
      </c>
      <c r="L19" s="17">
        <f>500000</f>
        <v>500000</v>
      </c>
      <c r="M19" s="17">
        <f t="shared" si="2"/>
        <v>2281875</v>
      </c>
      <c r="N19" s="17">
        <f t="shared" si="4"/>
        <v>3951125</v>
      </c>
      <c r="O19" s="47"/>
    </row>
    <row r="20" spans="1:15">
      <c r="A20" s="35">
        <v>15</v>
      </c>
      <c r="B20" s="138" t="s">
        <v>210</v>
      </c>
      <c r="C20" s="3">
        <v>1220</v>
      </c>
      <c r="D20" s="17">
        <f t="shared" si="3"/>
        <v>4276.22950819672</v>
      </c>
      <c r="E20" s="138" t="s">
        <v>133</v>
      </c>
      <c r="F20" s="139">
        <v>44098</v>
      </c>
      <c r="G20" s="140">
        <v>5217000</v>
      </c>
      <c r="J20" s="17">
        <v>0</v>
      </c>
      <c r="K20" s="17">
        <f>25000+1550000</f>
        <v>1575000</v>
      </c>
      <c r="L20" s="17">
        <f>1470000</f>
        <v>1470000</v>
      </c>
      <c r="M20" s="17">
        <f t="shared" si="2"/>
        <v>3045000</v>
      </c>
      <c r="N20" s="17">
        <f t="shared" si="4"/>
        <v>2172000</v>
      </c>
      <c r="O20" s="47"/>
    </row>
    <row r="21" spans="1:15">
      <c r="A21" s="35">
        <v>16</v>
      </c>
      <c r="B21" s="138" t="s">
        <v>211</v>
      </c>
      <c r="C21" s="3">
        <v>1715</v>
      </c>
      <c r="D21" s="17">
        <f t="shared" si="3"/>
        <v>3032.06997084548</v>
      </c>
      <c r="E21" s="138" t="s">
        <v>134</v>
      </c>
      <c r="F21" s="139">
        <v>43983</v>
      </c>
      <c r="G21" s="140">
        <v>5200000</v>
      </c>
      <c r="H21" s="36">
        <v>0</v>
      </c>
      <c r="I21" s="36">
        <v>0</v>
      </c>
      <c r="J21" s="36">
        <v>0</v>
      </c>
      <c r="K21" s="17">
        <v>700000</v>
      </c>
      <c r="L21" s="17">
        <v>0</v>
      </c>
      <c r="M21" s="17">
        <f t="shared" si="2"/>
        <v>700000</v>
      </c>
      <c r="N21" s="17">
        <f t="shared" si="4"/>
        <v>4500000</v>
      </c>
      <c r="O21" s="47"/>
    </row>
    <row r="22" spans="1:15">
      <c r="A22" s="35">
        <v>17</v>
      </c>
      <c r="B22" s="138" t="s">
        <v>212</v>
      </c>
      <c r="C22" s="3">
        <v>1715</v>
      </c>
      <c r="D22" s="17">
        <f t="shared" si="3"/>
        <v>3634.40233236152</v>
      </c>
      <c r="E22" s="138" t="s">
        <v>135</v>
      </c>
      <c r="F22" s="139">
        <v>43824</v>
      </c>
      <c r="G22" s="140">
        <v>6233000</v>
      </c>
      <c r="H22" s="36">
        <v>0</v>
      </c>
      <c r="I22" s="36">
        <v>0</v>
      </c>
      <c r="J22" s="17">
        <v>1185000</v>
      </c>
      <c r="K22" s="17">
        <f>1145000-623000</f>
        <v>522000</v>
      </c>
      <c r="L22" s="17">
        <v>0</v>
      </c>
      <c r="M22" s="17">
        <f t="shared" si="2"/>
        <v>1707000</v>
      </c>
      <c r="N22" s="17">
        <f t="shared" si="4"/>
        <v>4526000</v>
      </c>
      <c r="O22" s="47"/>
    </row>
    <row r="23" spans="1:15">
      <c r="A23" s="35">
        <v>18</v>
      </c>
      <c r="B23" s="138" t="s">
        <v>213</v>
      </c>
      <c r="C23" s="3">
        <v>1715</v>
      </c>
      <c r="D23" s="17">
        <f t="shared" si="3"/>
        <v>3984.25655976676</v>
      </c>
      <c r="E23" s="138" t="s">
        <v>136</v>
      </c>
      <c r="F23" s="139">
        <v>44033</v>
      </c>
      <c r="G23" s="140">
        <v>6833000</v>
      </c>
      <c r="H23" s="36">
        <v>0</v>
      </c>
      <c r="I23" s="36">
        <v>0</v>
      </c>
      <c r="J23" s="36">
        <v>0</v>
      </c>
      <c r="K23" s="17">
        <f>1250000+693000</f>
        <v>1943000</v>
      </c>
      <c r="L23" s="17">
        <f>980000</f>
        <v>980000</v>
      </c>
      <c r="M23" s="17">
        <f t="shared" si="2"/>
        <v>2923000</v>
      </c>
      <c r="N23" s="17">
        <f t="shared" si="4"/>
        <v>3910000</v>
      </c>
      <c r="O23" s="47"/>
    </row>
    <row r="24" spans="1:15">
      <c r="A24" s="35">
        <v>19</v>
      </c>
      <c r="B24" s="138" t="s">
        <v>214</v>
      </c>
      <c r="C24" s="3">
        <v>1715</v>
      </c>
      <c r="D24" s="17">
        <f t="shared" si="3"/>
        <v>3032.06997084548</v>
      </c>
      <c r="E24" s="138" t="s">
        <v>139</v>
      </c>
      <c r="F24" s="139">
        <v>43983</v>
      </c>
      <c r="G24" s="140">
        <v>5200000</v>
      </c>
      <c r="H24" s="36">
        <v>0</v>
      </c>
      <c r="I24" s="36">
        <v>0</v>
      </c>
      <c r="J24" s="36">
        <v>0</v>
      </c>
      <c r="K24" s="17">
        <v>1250000</v>
      </c>
      <c r="L24" s="17">
        <v>0</v>
      </c>
      <c r="M24" s="17">
        <f t="shared" si="2"/>
        <v>1250000</v>
      </c>
      <c r="N24" s="17">
        <f t="shared" si="4"/>
        <v>3950000</v>
      </c>
      <c r="O24" s="47"/>
    </row>
    <row r="25" spans="1:15">
      <c r="A25" s="35">
        <v>20</v>
      </c>
      <c r="B25" s="138" t="s">
        <v>215</v>
      </c>
      <c r="C25" s="3">
        <v>1715</v>
      </c>
      <c r="D25" s="17">
        <f t="shared" si="3"/>
        <v>3032.06997084548</v>
      </c>
      <c r="E25" s="138" t="s">
        <v>134</v>
      </c>
      <c r="F25" s="139">
        <v>43983</v>
      </c>
      <c r="G25" s="140">
        <v>5200000</v>
      </c>
      <c r="H25" s="36">
        <v>0</v>
      </c>
      <c r="I25" s="36">
        <v>0</v>
      </c>
      <c r="J25" s="36">
        <v>0</v>
      </c>
      <c r="K25" s="17">
        <v>700000</v>
      </c>
      <c r="L25" s="17">
        <v>0</v>
      </c>
      <c r="M25" s="17">
        <f t="shared" si="2"/>
        <v>700000</v>
      </c>
      <c r="N25" s="17">
        <f t="shared" si="4"/>
        <v>4500000</v>
      </c>
      <c r="O25" s="47"/>
    </row>
    <row r="26" spans="1:15">
      <c r="A26" s="35">
        <v>21</v>
      </c>
      <c r="B26" s="138" t="s">
        <v>216</v>
      </c>
      <c r="C26" s="3">
        <v>1715</v>
      </c>
      <c r="D26" s="17">
        <f t="shared" si="3"/>
        <v>3032.06997084548</v>
      </c>
      <c r="E26" s="138" t="s">
        <v>137</v>
      </c>
      <c r="F26" s="139">
        <v>43997</v>
      </c>
      <c r="G26" s="140">
        <v>5200000</v>
      </c>
      <c r="H26" s="36">
        <v>0</v>
      </c>
      <c r="I26" s="36">
        <v>0</v>
      </c>
      <c r="J26" s="36">
        <v>0</v>
      </c>
      <c r="K26" s="17">
        <v>5200000</v>
      </c>
      <c r="L26" s="17">
        <v>0</v>
      </c>
      <c r="M26" s="17">
        <f t="shared" si="2"/>
        <v>5200000</v>
      </c>
      <c r="N26" s="17">
        <f t="shared" si="4"/>
        <v>0</v>
      </c>
      <c r="O26" s="47"/>
    </row>
    <row r="27" spans="1:15">
      <c r="A27" s="35">
        <v>22</v>
      </c>
      <c r="B27" s="144" t="s">
        <v>217</v>
      </c>
      <c r="C27" s="145">
        <v>1715</v>
      </c>
      <c r="D27" s="17">
        <f t="shared" si="3"/>
        <v>3032.06997084548</v>
      </c>
      <c r="E27" s="138" t="s">
        <v>138</v>
      </c>
      <c r="F27" s="139">
        <v>43983</v>
      </c>
      <c r="G27" s="140">
        <v>5200000</v>
      </c>
      <c r="H27" s="36">
        <v>0</v>
      </c>
      <c r="I27" s="36">
        <v>0</v>
      </c>
      <c r="J27" s="36">
        <v>0</v>
      </c>
      <c r="K27" s="17">
        <v>1250000</v>
      </c>
      <c r="L27" s="17">
        <v>0</v>
      </c>
      <c r="M27" s="17">
        <f t="shared" si="2"/>
        <v>1250000</v>
      </c>
      <c r="N27" s="17">
        <f t="shared" si="4"/>
        <v>3950000</v>
      </c>
      <c r="O27" s="47"/>
    </row>
    <row r="28" ht="15" spans="1:14">
      <c r="A28" s="35">
        <v>23</v>
      </c>
      <c r="B28" s="146" t="s">
        <v>218</v>
      </c>
      <c r="C28" s="147">
        <v>1715</v>
      </c>
      <c r="D28" s="17">
        <f t="shared" si="3"/>
        <v>4085.13119533528</v>
      </c>
      <c r="E28" s="148" t="s">
        <v>219</v>
      </c>
      <c r="F28" s="149">
        <v>44406</v>
      </c>
      <c r="G28" s="150">
        <v>7006000</v>
      </c>
      <c r="J28" s="17">
        <v>0</v>
      </c>
      <c r="K28" s="17">
        <v>0</v>
      </c>
      <c r="L28" s="17">
        <f>225000</f>
        <v>225000</v>
      </c>
      <c r="M28" s="17">
        <f t="shared" si="2"/>
        <v>225000</v>
      </c>
      <c r="N28" s="17">
        <f t="shared" ref="N28:N33" si="5">G28-M28</f>
        <v>6781000</v>
      </c>
    </row>
    <row r="29" spans="1:15">
      <c r="A29" s="35">
        <v>24</v>
      </c>
      <c r="B29" s="144" t="s">
        <v>220</v>
      </c>
      <c r="C29" s="145">
        <v>1945</v>
      </c>
      <c r="D29" s="17">
        <f t="shared" si="3"/>
        <v>4294.62982005141</v>
      </c>
      <c r="E29" s="151" t="s">
        <v>115</v>
      </c>
      <c r="F29" s="149">
        <v>44341</v>
      </c>
      <c r="G29" s="152">
        <v>8353055</v>
      </c>
      <c r="J29" s="17">
        <v>0</v>
      </c>
      <c r="K29" s="17">
        <v>0</v>
      </c>
      <c r="L29" s="17">
        <f>1489210</f>
        <v>1489210</v>
      </c>
      <c r="M29" s="17">
        <f t="shared" si="2"/>
        <v>1489210</v>
      </c>
      <c r="N29" s="17">
        <f t="shared" si="5"/>
        <v>6863845</v>
      </c>
      <c r="O29" s="47"/>
    </row>
    <row r="30" spans="1:15">
      <c r="A30" s="35">
        <v>25</v>
      </c>
      <c r="B30" s="144" t="s">
        <v>221</v>
      </c>
      <c r="C30" s="145">
        <v>1945</v>
      </c>
      <c r="D30" s="17">
        <f t="shared" si="3"/>
        <v>4194.62982005141</v>
      </c>
      <c r="E30" s="151" t="s">
        <v>117</v>
      </c>
      <c r="F30" s="149">
        <v>44285</v>
      </c>
      <c r="G30" s="152">
        <v>8158555</v>
      </c>
      <c r="J30" s="17">
        <v>0</v>
      </c>
      <c r="K30" s="17">
        <f>226250</f>
        <v>226250</v>
      </c>
      <c r="L30" s="17">
        <f>800000</f>
        <v>800000</v>
      </c>
      <c r="M30" s="17">
        <f t="shared" si="2"/>
        <v>1026250</v>
      </c>
      <c r="N30" s="17">
        <f t="shared" si="5"/>
        <v>7132305</v>
      </c>
      <c r="O30" s="47"/>
    </row>
    <row r="31" ht="15" spans="1:15">
      <c r="A31" s="35">
        <v>26</v>
      </c>
      <c r="B31" s="144" t="s">
        <v>222</v>
      </c>
      <c r="C31" s="145">
        <v>1945</v>
      </c>
      <c r="D31" s="17">
        <f t="shared" si="3"/>
        <v>4291.64524421594</v>
      </c>
      <c r="E31" s="148" t="s">
        <v>118</v>
      </c>
      <c r="F31" s="149">
        <v>44377</v>
      </c>
      <c r="G31" s="150">
        <v>8347250</v>
      </c>
      <c r="J31" s="17">
        <v>0</v>
      </c>
      <c r="K31" s="17">
        <v>0</v>
      </c>
      <c r="L31" s="17">
        <f>26250</f>
        <v>26250</v>
      </c>
      <c r="M31" s="17">
        <f t="shared" si="2"/>
        <v>26250</v>
      </c>
      <c r="N31" s="17">
        <f t="shared" si="5"/>
        <v>8321000</v>
      </c>
      <c r="O31" s="47"/>
    </row>
    <row r="32" spans="1:15">
      <c r="A32" s="35"/>
      <c r="B32" s="138"/>
      <c r="D32" s="17"/>
      <c r="E32" s="138" t="s">
        <v>223</v>
      </c>
      <c r="F32" s="139"/>
      <c r="G32" s="140"/>
      <c r="J32" s="17">
        <v>0</v>
      </c>
      <c r="K32" s="17">
        <v>26125</v>
      </c>
      <c r="L32" s="17"/>
      <c r="M32" s="17">
        <f t="shared" si="2"/>
        <v>26125</v>
      </c>
      <c r="N32" s="17">
        <f t="shared" si="5"/>
        <v>-26125</v>
      </c>
      <c r="O32" s="47"/>
    </row>
    <row r="33" spans="10:14">
      <c r="J33" s="17">
        <v>0</v>
      </c>
      <c r="K33" s="17">
        <v>0</v>
      </c>
      <c r="L33" s="17"/>
      <c r="M33" s="17">
        <f t="shared" si="2"/>
        <v>0</v>
      </c>
      <c r="N33" s="17">
        <f t="shared" si="5"/>
        <v>0</v>
      </c>
    </row>
    <row r="34" spans="1:14">
      <c r="A34" s="153"/>
      <c r="B34" s="154" t="s">
        <v>94</v>
      </c>
      <c r="C34" s="155">
        <f>SUM(C6:C31)</f>
        <v>44290</v>
      </c>
      <c r="D34" s="156">
        <f>G34/C34</f>
        <v>3653.4400541883</v>
      </c>
      <c r="E34" s="153"/>
      <c r="F34" s="157"/>
      <c r="G34" s="158">
        <f>SUM(G6:G33)</f>
        <v>161810860</v>
      </c>
      <c r="H34" s="154">
        <f>SUM(H6:H21)</f>
        <v>0</v>
      </c>
      <c r="I34" s="154">
        <f>SUM(I6:I21)</f>
        <v>0</v>
      </c>
      <c r="J34" s="158">
        <f>SUM(J6:J33)</f>
        <v>18165000</v>
      </c>
      <c r="K34" s="158">
        <f>SUM(K6:K33)</f>
        <v>33240250</v>
      </c>
      <c r="L34" s="158">
        <f>SUM(L6:L33)</f>
        <v>12751460</v>
      </c>
      <c r="M34" s="158">
        <f>SUM(M6:M33)</f>
        <v>64156710</v>
      </c>
      <c r="N34" s="158">
        <f>SUM(N6:N33)</f>
        <v>97654150</v>
      </c>
    </row>
    <row r="35" spans="11:11">
      <c r="K35" s="47"/>
    </row>
    <row r="36" spans="11:12">
      <c r="K36" s="47"/>
      <c r="L36" s="47"/>
    </row>
    <row r="37" spans="11:12">
      <c r="K37" s="47"/>
      <c r="L37" s="47"/>
    </row>
    <row r="38" spans="11:11">
      <c r="K38" s="47"/>
    </row>
  </sheetData>
  <sortState ref="A6:N24">
    <sortCondition ref="B6:B24"/>
  </sortState>
  <printOptions gridLines="1"/>
  <pageMargins left="0.708661417322835" right="0.550694444444444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K16" sqref="K16"/>
    </sheetView>
  </sheetViews>
  <sheetFormatPr defaultColWidth="9.14285714285714" defaultRowHeight="15"/>
  <cols>
    <col min="1" max="1" width="5.71428571428571" style="18" customWidth="1"/>
    <col min="2" max="2" width="9.85714285714286" style="18" customWidth="1"/>
    <col min="3" max="3" width="25.5428571428571" style="18" customWidth="1"/>
    <col min="4" max="7" width="12.8571428571429" style="99" customWidth="1"/>
    <col min="8" max="9" width="11.7142857142857" style="18" customWidth="1"/>
    <col min="10" max="11" width="11.7142857142857" style="22" customWidth="1"/>
    <col min="12" max="256" width="9.14285714285714" style="18"/>
  </cols>
  <sheetData>
    <row r="1" spans="1:11">
      <c r="A1" s="98" t="s">
        <v>0</v>
      </c>
      <c r="C1" s="18" t="s">
        <v>1</v>
      </c>
      <c r="D1" s="18"/>
      <c r="E1" s="98" t="s">
        <v>2</v>
      </c>
      <c r="F1" s="18"/>
      <c r="G1" s="18" t="s">
        <v>3</v>
      </c>
      <c r="H1" s="99"/>
      <c r="I1" s="99"/>
      <c r="J1" s="18"/>
      <c r="K1" s="18"/>
    </row>
    <row r="2" spans="1:11">
      <c r="A2" s="98" t="s">
        <v>4</v>
      </c>
      <c r="C2" s="18" t="s">
        <v>5</v>
      </c>
      <c r="D2" s="18"/>
      <c r="E2" s="98" t="s">
        <v>6</v>
      </c>
      <c r="F2" s="18"/>
      <c r="G2" s="100">
        <v>44422</v>
      </c>
      <c r="H2" s="99"/>
      <c r="I2" s="99"/>
      <c r="J2" s="18"/>
      <c r="K2" s="18"/>
    </row>
    <row r="3" spans="1:11">
      <c r="A3" s="98" t="s">
        <v>7</v>
      </c>
      <c r="D3" s="18"/>
      <c r="E3" s="98" t="s">
        <v>8</v>
      </c>
      <c r="F3" s="18"/>
      <c r="G3" s="18" t="s">
        <v>9</v>
      </c>
      <c r="H3" s="99"/>
      <c r="I3" s="99"/>
      <c r="J3" s="18"/>
      <c r="K3" s="18"/>
    </row>
    <row r="4" s="16" customFormat="1" ht="12.75" spans="4:11">
      <c r="D4" s="104"/>
      <c r="H4" s="118"/>
      <c r="I4" s="129"/>
      <c r="J4" s="87"/>
      <c r="K4" s="87"/>
    </row>
    <row r="5" spans="1:7">
      <c r="A5" s="18" t="s">
        <v>224</v>
      </c>
      <c r="D5" s="22"/>
      <c r="E5" s="22"/>
      <c r="F5" s="22"/>
      <c r="G5" s="22"/>
    </row>
    <row r="6" s="117" customFormat="1" ht="51" spans="1:11">
      <c r="A6" s="119" t="s">
        <v>10</v>
      </c>
      <c r="B6" s="119" t="s">
        <v>225</v>
      </c>
      <c r="C6" s="119" t="s">
        <v>226</v>
      </c>
      <c r="D6" s="120" t="s">
        <v>227</v>
      </c>
      <c r="E6" s="121" t="s">
        <v>228</v>
      </c>
      <c r="F6" s="121" t="s">
        <v>229</v>
      </c>
      <c r="G6" s="120" t="s">
        <v>230</v>
      </c>
      <c r="H6" s="119" t="s">
        <v>231</v>
      </c>
      <c r="I6" s="119" t="s">
        <v>232</v>
      </c>
      <c r="J6" s="120" t="s">
        <v>233</v>
      </c>
      <c r="K6" s="130"/>
    </row>
    <row r="7" spans="1:10">
      <c r="A7" s="98">
        <v>1</v>
      </c>
      <c r="B7" s="98" t="s">
        <v>234</v>
      </c>
      <c r="C7" s="18" t="s">
        <v>235</v>
      </c>
      <c r="D7" s="22">
        <v>29000000</v>
      </c>
      <c r="E7" s="22">
        <v>0</v>
      </c>
      <c r="F7" s="22">
        <f>D7-25806218</f>
        <v>3193782</v>
      </c>
      <c r="G7" s="22">
        <f>D7-E7-F7</f>
        <v>25806218</v>
      </c>
      <c r="H7" s="122"/>
      <c r="I7" s="122"/>
      <c r="J7" s="22">
        <v>0</v>
      </c>
    </row>
    <row r="8" spans="1:10">
      <c r="A8" s="98">
        <v>2</v>
      </c>
      <c r="B8" s="98" t="s">
        <v>234</v>
      </c>
      <c r="D8" s="22">
        <v>0</v>
      </c>
      <c r="E8" s="22">
        <v>0</v>
      </c>
      <c r="F8" s="22">
        <v>0</v>
      </c>
      <c r="G8" s="22">
        <f>SUM(D8:F8)</f>
        <v>0</v>
      </c>
      <c r="H8" s="193" t="s">
        <v>21</v>
      </c>
      <c r="I8" s="193" t="s">
        <v>21</v>
      </c>
      <c r="J8" s="193" t="s">
        <v>21</v>
      </c>
    </row>
    <row r="9" spans="1:10">
      <c r="A9" s="98">
        <v>3</v>
      </c>
      <c r="B9" s="98" t="s">
        <v>234</v>
      </c>
      <c r="D9" s="22">
        <v>0</v>
      </c>
      <c r="E9" s="22">
        <v>0</v>
      </c>
      <c r="F9" s="22">
        <v>0</v>
      </c>
      <c r="G9" s="22">
        <f>SUM(D9:F9)</f>
        <v>0</v>
      </c>
      <c r="H9" s="193" t="s">
        <v>21</v>
      </c>
      <c r="I9" s="193" t="s">
        <v>21</v>
      </c>
      <c r="J9" s="193" t="s">
        <v>21</v>
      </c>
    </row>
    <row r="10" spans="1:10">
      <c r="A10" s="109">
        <v>4</v>
      </c>
      <c r="B10" s="109" t="s">
        <v>236</v>
      </c>
      <c r="C10" s="108"/>
      <c r="D10" s="110">
        <f>SUM(D7:D9)</f>
        <v>29000000</v>
      </c>
      <c r="E10" s="110">
        <f>SUM(E7:E9)</f>
        <v>0</v>
      </c>
      <c r="F10" s="110">
        <f>SUM(F7:F9)</f>
        <v>3193782</v>
      </c>
      <c r="G10" s="110">
        <f>SUM(G7:G9)</f>
        <v>25806218</v>
      </c>
      <c r="H10" s="124"/>
      <c r="I10" s="108"/>
      <c r="J10" s="110"/>
    </row>
    <row r="11" spans="1:10">
      <c r="A11" s="98">
        <v>5</v>
      </c>
      <c r="B11" s="98" t="s">
        <v>237</v>
      </c>
      <c r="C11" s="18" t="s">
        <v>238</v>
      </c>
      <c r="D11" s="22">
        <v>16500000</v>
      </c>
      <c r="E11" s="22">
        <v>9500000</v>
      </c>
      <c r="F11" s="22">
        <f>8020267-1020267</f>
        <v>7000000</v>
      </c>
      <c r="G11" s="22">
        <f>D11-E11-F11</f>
        <v>0</v>
      </c>
      <c r="H11" s="193" t="s">
        <v>21</v>
      </c>
      <c r="I11" s="193" t="s">
        <v>21</v>
      </c>
      <c r="J11" s="193" t="s">
        <v>21</v>
      </c>
    </row>
    <row r="12" spans="1:10">
      <c r="A12" s="98">
        <v>6</v>
      </c>
      <c r="B12" s="98" t="s">
        <v>237</v>
      </c>
      <c r="C12" s="18" t="s">
        <v>239</v>
      </c>
      <c r="D12" s="22">
        <v>5020267</v>
      </c>
      <c r="E12" s="22">
        <v>0</v>
      </c>
      <c r="F12" s="22">
        <v>0</v>
      </c>
      <c r="G12" s="22">
        <f>D12-E12-F12</f>
        <v>5020267</v>
      </c>
      <c r="H12" s="193" t="s">
        <v>21</v>
      </c>
      <c r="I12" s="193" t="s">
        <v>21</v>
      </c>
      <c r="J12" s="193" t="s">
        <v>21</v>
      </c>
    </row>
    <row r="13" spans="1:10">
      <c r="A13" s="98">
        <v>7</v>
      </c>
      <c r="B13" s="98" t="s">
        <v>237</v>
      </c>
      <c r="C13" s="18" t="s">
        <v>240</v>
      </c>
      <c r="D13" s="22">
        <v>1800000</v>
      </c>
      <c r="E13" s="22">
        <v>0</v>
      </c>
      <c r="F13" s="22">
        <v>0</v>
      </c>
      <c r="G13" s="22">
        <f>D13-E13-F13</f>
        <v>1800000</v>
      </c>
      <c r="H13" s="193" t="s">
        <v>21</v>
      </c>
      <c r="I13" s="193" t="s">
        <v>21</v>
      </c>
      <c r="J13" s="193" t="s">
        <v>21</v>
      </c>
    </row>
    <row r="14" spans="1:10">
      <c r="A14" s="98">
        <v>8</v>
      </c>
      <c r="B14" s="98" t="s">
        <v>237</v>
      </c>
      <c r="D14" s="22">
        <v>0</v>
      </c>
      <c r="E14" s="22">
        <v>0</v>
      </c>
      <c r="F14" s="22">
        <v>0</v>
      </c>
      <c r="G14" s="22">
        <f>D14-E14-F14</f>
        <v>0</v>
      </c>
      <c r="H14" s="193" t="s">
        <v>21</v>
      </c>
      <c r="I14" s="193" t="s">
        <v>21</v>
      </c>
      <c r="J14" s="193" t="s">
        <v>21</v>
      </c>
    </row>
    <row r="15" spans="1:10">
      <c r="A15" s="98">
        <v>9</v>
      </c>
      <c r="B15" s="98" t="s">
        <v>237</v>
      </c>
      <c r="D15" s="22">
        <v>0</v>
      </c>
      <c r="E15" s="22">
        <v>0</v>
      </c>
      <c r="F15" s="22">
        <v>0</v>
      </c>
      <c r="G15" s="22">
        <f>D15-E15-F15</f>
        <v>0</v>
      </c>
      <c r="H15" s="193" t="s">
        <v>21</v>
      </c>
      <c r="I15" s="193" t="s">
        <v>21</v>
      </c>
      <c r="J15" s="193" t="s">
        <v>21</v>
      </c>
    </row>
    <row r="16" spans="1:10">
      <c r="A16" s="109">
        <v>10</v>
      </c>
      <c r="B16" s="109" t="s">
        <v>241</v>
      </c>
      <c r="C16" s="108"/>
      <c r="D16" s="110">
        <f>SUM(D11:D15)</f>
        <v>23320267</v>
      </c>
      <c r="E16" s="110">
        <f>SUM(E11:E15)</f>
        <v>9500000</v>
      </c>
      <c r="F16" s="110">
        <f>SUM(F11:F15)</f>
        <v>7000000</v>
      </c>
      <c r="G16" s="110">
        <f>SUM(G11:G15)</f>
        <v>6820267</v>
      </c>
      <c r="H16" s="124"/>
      <c r="I16" s="108"/>
      <c r="J16" s="110"/>
    </row>
    <row r="17" spans="1:10">
      <c r="A17" s="125">
        <v>11</v>
      </c>
      <c r="B17" s="125" t="s">
        <v>94</v>
      </c>
      <c r="C17" s="126"/>
      <c r="D17" s="127">
        <f>D10+D16</f>
        <v>52320267</v>
      </c>
      <c r="E17" s="127">
        <f>E10+E16</f>
        <v>9500000</v>
      </c>
      <c r="F17" s="127">
        <f>F10+F16</f>
        <v>10193782</v>
      </c>
      <c r="G17" s="127">
        <f>G10+G16</f>
        <v>32626485</v>
      </c>
      <c r="H17" s="128"/>
      <c r="I17" s="126"/>
      <c r="J17" s="127"/>
    </row>
  </sheetData>
  <printOptions gridLines="1"/>
  <pageMargins left="0.7" right="0.944444444444444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C20" sqref="C20"/>
    </sheetView>
  </sheetViews>
  <sheetFormatPr defaultColWidth="9.14285714285714" defaultRowHeight="15"/>
  <cols>
    <col min="1" max="1" width="6.28571428571429" style="18" customWidth="1"/>
    <col min="2" max="2" width="35.8571428571429" style="98" customWidth="1"/>
    <col min="3" max="5" width="15.7142857142857" style="99" customWidth="1"/>
    <col min="6" max="6" width="16.4285714285714" style="99" customWidth="1"/>
    <col min="7" max="7" width="15.7142857142857" style="99" customWidth="1"/>
    <col min="8" max="10" width="12.1428571428571" style="18"/>
    <col min="11" max="255" width="9.14285714285714" style="18"/>
  </cols>
  <sheetData>
    <row r="1" spans="1:8">
      <c r="A1" s="98" t="s">
        <v>0</v>
      </c>
      <c r="B1" s="18"/>
      <c r="C1" s="18" t="s">
        <v>1</v>
      </c>
      <c r="D1" s="18"/>
      <c r="E1" s="98" t="s">
        <v>2</v>
      </c>
      <c r="F1" s="18" t="s">
        <v>3</v>
      </c>
      <c r="H1" s="99"/>
    </row>
    <row r="2" spans="1:8">
      <c r="A2" s="98" t="s">
        <v>4</v>
      </c>
      <c r="B2" s="18"/>
      <c r="C2" s="18" t="s">
        <v>5</v>
      </c>
      <c r="D2" s="18"/>
      <c r="E2" s="98" t="s">
        <v>6</v>
      </c>
      <c r="F2" s="100">
        <v>44422</v>
      </c>
      <c r="H2" s="99"/>
    </row>
    <row r="3" spans="1:8">
      <c r="A3" s="98" t="s">
        <v>7</v>
      </c>
      <c r="B3" s="18"/>
      <c r="C3" s="18"/>
      <c r="D3" s="18"/>
      <c r="E3" s="98" t="s">
        <v>8</v>
      </c>
      <c r="F3" s="18" t="s">
        <v>9</v>
      </c>
      <c r="H3" s="99"/>
    </row>
    <row r="4" ht="25.5" spans="1:6">
      <c r="A4" s="101" t="s">
        <v>10</v>
      </c>
      <c r="B4" s="101" t="s">
        <v>11</v>
      </c>
      <c r="C4" s="102" t="s">
        <v>242</v>
      </c>
      <c r="D4" s="102" t="s">
        <v>243</v>
      </c>
      <c r="E4" s="102" t="s">
        <v>244</v>
      </c>
      <c r="F4" s="103" t="s">
        <v>94</v>
      </c>
    </row>
    <row r="5" spans="1:6">
      <c r="A5" s="18">
        <v>1</v>
      </c>
      <c r="B5" s="104" t="s">
        <v>245</v>
      </c>
      <c r="C5" s="105"/>
      <c r="D5" s="105"/>
      <c r="E5" s="105"/>
      <c r="F5" s="106"/>
    </row>
    <row r="6" spans="1:6">
      <c r="A6" s="18">
        <v>2</v>
      </c>
      <c r="B6" s="104" t="s">
        <v>246</v>
      </c>
      <c r="C6" s="22">
        <f>'RERA sold units details'!J34*100/105</f>
        <v>17300000</v>
      </c>
      <c r="D6" s="22">
        <f>(15692500-25000)*100/105+8344167</f>
        <v>23265595.5714286</v>
      </c>
      <c r="E6" s="22">
        <f>12751460*100/105</f>
        <v>12144247.6190476</v>
      </c>
      <c r="F6" s="107">
        <f>SUM(C6:E6)</f>
        <v>52709843.1904762</v>
      </c>
    </row>
    <row r="7" spans="1:6">
      <c r="A7" s="18">
        <v>3</v>
      </c>
      <c r="B7" s="98" t="s">
        <v>247</v>
      </c>
      <c r="C7" s="22">
        <f>'Loan details'!G16</f>
        <v>6820267</v>
      </c>
      <c r="D7" s="22">
        <v>0</v>
      </c>
      <c r="E7" s="22">
        <v>0</v>
      </c>
      <c r="F7" s="107">
        <f>SUM(C7:E7)</f>
        <v>6820267</v>
      </c>
    </row>
    <row r="8" spans="1:6">
      <c r="A8" s="18">
        <v>4</v>
      </c>
      <c r="B8" s="98" t="s">
        <v>248</v>
      </c>
      <c r="C8" s="22">
        <v>0</v>
      </c>
      <c r="D8" s="22">
        <v>20000000</v>
      </c>
      <c r="E8" s="22">
        <v>9000000</v>
      </c>
      <c r="F8" s="107">
        <f>SUM(C8:E8)</f>
        <v>29000000</v>
      </c>
    </row>
    <row r="9" spans="1:10">
      <c r="A9" s="108">
        <v>5</v>
      </c>
      <c r="B9" s="109" t="s">
        <v>249</v>
      </c>
      <c r="C9" s="110">
        <f>SUM(C6:C8)</f>
        <v>24120267</v>
      </c>
      <c r="D9" s="110">
        <f>SUM(D6:D8)</f>
        <v>43265595.5714286</v>
      </c>
      <c r="E9" s="110">
        <f>SUM(E6:E8)</f>
        <v>21144247.6190476</v>
      </c>
      <c r="F9" s="110">
        <f>SUM(F6:F8)</f>
        <v>88530110.1904762</v>
      </c>
      <c r="J9" s="111"/>
    </row>
    <row r="10" spans="1:10">
      <c r="A10" s="18">
        <v>6</v>
      </c>
      <c r="B10" s="98" t="s">
        <v>250</v>
      </c>
      <c r="H10" s="111"/>
      <c r="J10" s="111"/>
    </row>
    <row r="11" spans="1:10">
      <c r="A11" s="18">
        <v>7</v>
      </c>
      <c r="B11" s="98" t="s">
        <v>251</v>
      </c>
      <c r="C11" s="112">
        <f>WIP!B122</f>
        <v>1712590.3</v>
      </c>
      <c r="D11" s="112">
        <v>0</v>
      </c>
      <c r="E11" s="112">
        <v>0</v>
      </c>
      <c r="F11" s="112">
        <f>SUM(C11:E11)</f>
        <v>1712590.3</v>
      </c>
      <c r="H11" s="111"/>
      <c r="J11" s="111"/>
    </row>
    <row r="12" spans="1:10">
      <c r="A12" s="18">
        <v>8</v>
      </c>
      <c r="B12" s="98" t="s">
        <v>252</v>
      </c>
      <c r="C12" s="112">
        <f>'JDA Advances '!B10</f>
        <v>10000000</v>
      </c>
      <c r="D12" s="112">
        <v>0</v>
      </c>
      <c r="E12" s="112">
        <v>0</v>
      </c>
      <c r="F12" s="112">
        <f t="shared" ref="F12:F18" si="0">SUM(C12:E12)</f>
        <v>10000000</v>
      </c>
      <c r="J12" s="111"/>
    </row>
    <row r="13" spans="1:10">
      <c r="A13" s="18">
        <v>9</v>
      </c>
      <c r="B13" s="98" t="s">
        <v>253</v>
      </c>
      <c r="C13" s="112">
        <f>WIP!B119</f>
        <v>17287720</v>
      </c>
      <c r="D13" s="112">
        <v>0</v>
      </c>
      <c r="E13" s="112">
        <v>0</v>
      </c>
      <c r="F13" s="112">
        <f t="shared" si="0"/>
        <v>17287720</v>
      </c>
      <c r="J13" s="111"/>
    </row>
    <row r="14" spans="1:6">
      <c r="A14" s="18">
        <v>10</v>
      </c>
      <c r="B14" s="98" t="s">
        <v>254</v>
      </c>
      <c r="C14" s="112">
        <f>'Oth Admin Expsns'!B8</f>
        <v>1159949</v>
      </c>
      <c r="D14" s="112">
        <f>'Oth Admin Expsns'!C8</f>
        <v>1889038.74</v>
      </c>
      <c r="E14" s="112">
        <f>'Oth Admin Expsns'!D8</f>
        <v>594421</v>
      </c>
      <c r="F14" s="112">
        <f t="shared" si="0"/>
        <v>3643408.74</v>
      </c>
    </row>
    <row r="15" spans="1:7">
      <c r="A15" s="18">
        <v>11</v>
      </c>
      <c r="B15" s="98" t="s">
        <v>255</v>
      </c>
      <c r="C15" s="113">
        <f>'Oth Admin Expsns'!B66</f>
        <v>5570349.76</v>
      </c>
      <c r="D15" s="112">
        <f>'Oth Admin Expsns'!C66</f>
        <v>5497371.26</v>
      </c>
      <c r="E15" s="114">
        <f>'Oth Admin Expsns'!D66</f>
        <v>1546933</v>
      </c>
      <c r="F15" s="112">
        <f t="shared" si="0"/>
        <v>12614654.02</v>
      </c>
      <c r="G15" s="99">
        <f>F15-'Project cost &amp; estimates'!F9</f>
        <v>0</v>
      </c>
    </row>
    <row r="16" spans="1:9">
      <c r="A16" s="18">
        <v>12</v>
      </c>
      <c r="B16" s="98" t="s">
        <v>256</v>
      </c>
      <c r="C16" s="112">
        <f>WIP!B110</f>
        <v>7899344.36</v>
      </c>
      <c r="D16" s="112">
        <f>WIP!C125</f>
        <v>40942983.67</v>
      </c>
      <c r="E16" s="112">
        <f>WIP!D125</f>
        <v>5334109.88</v>
      </c>
      <c r="F16" s="112">
        <f t="shared" si="0"/>
        <v>54176437.91</v>
      </c>
      <c r="H16" s="115"/>
      <c r="I16" s="111"/>
    </row>
    <row r="17" spans="1:6">
      <c r="A17" s="18">
        <v>13</v>
      </c>
      <c r="B17" s="98" t="s">
        <v>257</v>
      </c>
      <c r="C17" s="112">
        <v>0</v>
      </c>
      <c r="D17" s="112">
        <v>0</v>
      </c>
      <c r="E17" s="112">
        <v>0</v>
      </c>
      <c r="F17" s="112">
        <f t="shared" si="0"/>
        <v>0</v>
      </c>
    </row>
    <row r="18" spans="1:8">
      <c r="A18" s="18">
        <v>14</v>
      </c>
      <c r="B18" s="98" t="s">
        <v>258</v>
      </c>
      <c r="C18" s="112">
        <f>9630621+9766</f>
        <v>9640387</v>
      </c>
      <c r="D18" s="112">
        <f>(4081575-6095721.34)+(1547257-979263.81)</f>
        <v>-1446153.15</v>
      </c>
      <c r="E18" s="112">
        <f>1724000+(639000.27-1050294.88)</f>
        <v>1312705.39</v>
      </c>
      <c r="F18" s="112">
        <f t="shared" si="0"/>
        <v>9506939.24</v>
      </c>
      <c r="H18" s="115"/>
    </row>
    <row r="19" spans="1:6">
      <c r="A19" s="108">
        <v>15</v>
      </c>
      <c r="B19" s="109" t="s">
        <v>259</v>
      </c>
      <c r="C19" s="116">
        <f>SUM(C11:C18)</f>
        <v>53270340.42</v>
      </c>
      <c r="D19" s="116">
        <f>SUM(D11:D18)</f>
        <v>46883240.52</v>
      </c>
      <c r="E19" s="116">
        <f>SUM(E11:E18)</f>
        <v>8788169.27</v>
      </c>
      <c r="F19" s="116">
        <f>SUM(F11:F18)</f>
        <v>108941750.21</v>
      </c>
    </row>
    <row r="20" spans="1:7">
      <c r="A20" s="18">
        <v>16</v>
      </c>
      <c r="B20" s="98" t="s">
        <v>75</v>
      </c>
      <c r="C20" s="22">
        <f>29830397.24</f>
        <v>29830397.24</v>
      </c>
      <c r="D20" s="22">
        <f>-2190000</f>
        <v>-2190000</v>
      </c>
      <c r="E20" s="22">
        <f>182544+6539349-4500000+8098596.76</f>
        <v>10320489.76</v>
      </c>
      <c r="F20" s="112">
        <f>SUM(C20:E20)</f>
        <v>37960887</v>
      </c>
      <c r="G20" s="99">
        <f>F20-37960887</f>
        <v>0</v>
      </c>
    </row>
    <row r="21" spans="1:6">
      <c r="A21" s="18">
        <v>17</v>
      </c>
      <c r="B21" s="98" t="s">
        <v>260</v>
      </c>
      <c r="C21" s="22">
        <v>100000</v>
      </c>
      <c r="D21" s="22">
        <v>0</v>
      </c>
      <c r="E21" s="22">
        <v>0</v>
      </c>
      <c r="F21" s="22">
        <f>SUM(C21:D21)</f>
        <v>100000</v>
      </c>
    </row>
    <row r="22" spans="1:8">
      <c r="A22" s="18">
        <v>18</v>
      </c>
      <c r="B22" s="98" t="s">
        <v>261</v>
      </c>
      <c r="C22" s="99">
        <v>0</v>
      </c>
      <c r="D22" s="99">
        <v>0</v>
      </c>
      <c r="E22" s="99">
        <v>1800000</v>
      </c>
      <c r="F22" s="99">
        <f>SUM(C22:E22)</f>
        <v>1800000</v>
      </c>
      <c r="H22" s="115"/>
    </row>
    <row r="23" spans="1:6">
      <c r="A23" s="108">
        <v>19</v>
      </c>
      <c r="B23" s="109" t="s">
        <v>262</v>
      </c>
      <c r="C23" s="110">
        <f>SUM(C20:C22)</f>
        <v>29930397.24</v>
      </c>
      <c r="D23" s="110">
        <f>SUM(D20:D22)</f>
        <v>-2190000</v>
      </c>
      <c r="E23" s="110">
        <f>SUM(E20:E22)</f>
        <v>12120489.76</v>
      </c>
      <c r="F23" s="110">
        <f>SUM(F20:F22)</f>
        <v>39860887</v>
      </c>
    </row>
    <row r="24" spans="1:6">
      <c r="A24" s="16"/>
      <c r="B24" s="104"/>
      <c r="C24" s="87"/>
      <c r="D24" s="87"/>
      <c r="E24" s="87"/>
      <c r="F24" s="87"/>
    </row>
    <row r="25" spans="1:6">
      <c r="A25" s="108" t="s">
        <v>263</v>
      </c>
      <c r="B25" s="109"/>
      <c r="C25" s="108"/>
      <c r="D25" s="108"/>
      <c r="E25" s="108"/>
      <c r="F25" s="108"/>
    </row>
    <row r="26" spans="1:6">
      <c r="A26" s="16" t="s">
        <v>60</v>
      </c>
      <c r="B26" s="104" t="s">
        <v>264</v>
      </c>
      <c r="C26" s="87">
        <f>C19</f>
        <v>53270340.42</v>
      </c>
      <c r="D26" s="87">
        <f>D19</f>
        <v>46883240.52</v>
      </c>
      <c r="E26" s="87">
        <f>E19</f>
        <v>8788169.27</v>
      </c>
      <c r="F26" s="87">
        <f>F19</f>
        <v>108941750.21</v>
      </c>
    </row>
    <row r="27" spans="1:6">
      <c r="A27" s="16" t="s">
        <v>62</v>
      </c>
      <c r="B27" s="98" t="s">
        <v>265</v>
      </c>
      <c r="C27" s="22">
        <f>C6*0.7</f>
        <v>12110000</v>
      </c>
      <c r="D27" s="22">
        <f>D6*0.7</f>
        <v>16285916.9</v>
      </c>
      <c r="E27" s="22">
        <f>E6*0.7</f>
        <v>8500973.33333333</v>
      </c>
      <c r="F27" s="22">
        <f>F6*0.7</f>
        <v>36896890.2333333</v>
      </c>
    </row>
    <row r="28" spans="1:6">
      <c r="A28" s="16" t="s">
        <v>64</v>
      </c>
      <c r="B28" s="98" t="s">
        <v>266</v>
      </c>
      <c r="C28" s="22">
        <f>C7+C8</f>
        <v>6820267</v>
      </c>
      <c r="D28" s="22">
        <f>D7+D8</f>
        <v>20000000</v>
      </c>
      <c r="E28" s="22">
        <f>E7+E8</f>
        <v>9000000</v>
      </c>
      <c r="F28" s="22">
        <f>F7+F8</f>
        <v>35820267</v>
      </c>
    </row>
    <row r="29" spans="1:6">
      <c r="A29" s="16" t="s">
        <v>66</v>
      </c>
      <c r="B29" s="98" t="s">
        <v>267</v>
      </c>
      <c r="C29" s="22">
        <v>7970731.9</v>
      </c>
      <c r="D29" s="22">
        <v>1193596</v>
      </c>
      <c r="E29" s="22">
        <v>2280348</v>
      </c>
      <c r="F29" s="22">
        <f>E29</f>
        <v>2280348</v>
      </c>
    </row>
    <row r="30" spans="1:6">
      <c r="A30" s="108"/>
      <c r="B30" s="109" t="s">
        <v>268</v>
      </c>
      <c r="C30" s="110">
        <f>C26-C27-C28-C29</f>
        <v>26369341.52</v>
      </c>
      <c r="D30" s="110">
        <f>D26-D27-D28-D29</f>
        <v>9403727.62</v>
      </c>
      <c r="E30" s="110">
        <f>E26-E27-E28-E29</f>
        <v>-10993152.0633333</v>
      </c>
      <c r="F30" s="110">
        <f>F26-F27-F28-F29</f>
        <v>33944244.9766666</v>
      </c>
    </row>
    <row r="31" spans="1:1">
      <c r="A31" s="18" t="s">
        <v>269</v>
      </c>
    </row>
    <row r="32" spans="1:1">
      <c r="A32" s="18" t="s">
        <v>270</v>
      </c>
    </row>
    <row r="33" spans="1:1">
      <c r="A33" s="18" t="s">
        <v>271</v>
      </c>
    </row>
    <row r="34" spans="1:1">
      <c r="A34" s="18" t="s">
        <v>272</v>
      </c>
    </row>
  </sheetData>
  <printOptions gridLines="1"/>
  <pageMargins left="0.7" right="0.7" top="0.75" bottom="0.75" header="0.3" footer="0.3"/>
  <pageSetup paperSize="9" scale="95" orientation="landscape"/>
  <headerFooter>
    <oddHeader>&amp;C&amp;F - &amp;A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zoomScale="106" zoomScaleNormal="106" workbookViewId="0">
      <selection activeCell="B1" sqref="B1:E2"/>
    </sheetView>
  </sheetViews>
  <sheetFormatPr defaultColWidth="9.14285714285714" defaultRowHeight="15"/>
  <cols>
    <col min="1" max="1" width="25.1428571428571" style="77" customWidth="1"/>
    <col min="2" max="3" width="14" style="77" customWidth="1"/>
    <col min="4" max="5" width="14" style="78" customWidth="1"/>
    <col min="6" max="6" width="14" style="77" customWidth="1"/>
    <col min="7" max="7" width="10" style="77"/>
    <col min="8" max="8" width="11" style="77"/>
    <col min="9" max="9" width="38.4285714285714" style="77"/>
    <col min="10" max="256" width="9.14285714285714" style="77"/>
  </cols>
  <sheetData>
    <row r="1" spans="1:7">
      <c r="A1" s="79" t="s">
        <v>273</v>
      </c>
      <c r="B1" s="80" t="s">
        <v>274</v>
      </c>
      <c r="C1" s="80" t="s">
        <v>274</v>
      </c>
      <c r="D1" s="80" t="s">
        <v>274</v>
      </c>
      <c r="E1" s="80" t="s">
        <v>274</v>
      </c>
      <c r="F1" s="77" t="s">
        <v>275</v>
      </c>
      <c r="G1" s="78"/>
    </row>
    <row r="2" ht="25.5" spans="1:7">
      <c r="A2" s="81" t="s">
        <v>276</v>
      </c>
      <c r="B2" s="81" t="s">
        <v>277</v>
      </c>
      <c r="C2" s="81" t="s">
        <v>278</v>
      </c>
      <c r="D2" s="82" t="s">
        <v>279</v>
      </c>
      <c r="E2" s="83">
        <v>43830</v>
      </c>
      <c r="F2" s="80"/>
      <c r="G2" s="78"/>
    </row>
    <row r="3" spans="1:7">
      <c r="A3" s="84" t="s">
        <v>280</v>
      </c>
      <c r="B3" s="85"/>
      <c r="C3" s="85"/>
      <c r="D3" s="86"/>
      <c r="E3" s="87"/>
      <c r="F3" s="86"/>
      <c r="G3" s="78"/>
    </row>
    <row r="4" spans="1:6">
      <c r="A4" s="37" t="s">
        <v>281</v>
      </c>
      <c r="B4" s="17">
        <v>0</v>
      </c>
      <c r="C4" s="17">
        <v>0</v>
      </c>
      <c r="D4" s="17">
        <v>0</v>
      </c>
      <c r="E4" s="17">
        <v>0</v>
      </c>
      <c r="F4" s="87">
        <f t="shared" ref="F4:F9" si="0">SUM(B4:E4)</f>
        <v>0</v>
      </c>
    </row>
    <row r="5" spans="1:6">
      <c r="A5" s="37" t="s">
        <v>282</v>
      </c>
      <c r="B5" s="17">
        <v>0</v>
      </c>
      <c r="C5" s="17">
        <v>0</v>
      </c>
      <c r="D5" s="17">
        <v>0</v>
      </c>
      <c r="E5" s="17">
        <v>0</v>
      </c>
      <c r="F5" s="87">
        <f t="shared" si="0"/>
        <v>0</v>
      </c>
    </row>
    <row r="6" spans="1:6">
      <c r="A6" s="37" t="s">
        <v>283</v>
      </c>
      <c r="B6" s="17">
        <v>0</v>
      </c>
      <c r="C6" s="17">
        <v>0</v>
      </c>
      <c r="D6" s="17">
        <v>0</v>
      </c>
      <c r="E6" s="17">
        <v>0</v>
      </c>
      <c r="F6" s="87">
        <f t="shared" si="0"/>
        <v>0</v>
      </c>
    </row>
    <row r="7" spans="1:6">
      <c r="A7" s="37" t="s">
        <v>284</v>
      </c>
      <c r="B7" s="17">
        <v>0</v>
      </c>
      <c r="C7" s="17">
        <v>0</v>
      </c>
      <c r="D7" s="17">
        <v>0</v>
      </c>
      <c r="E7" s="17">
        <v>0</v>
      </c>
      <c r="F7" s="87">
        <f t="shared" si="0"/>
        <v>0</v>
      </c>
    </row>
    <row r="8" spans="1:6">
      <c r="A8" s="37" t="s">
        <v>285</v>
      </c>
      <c r="B8" s="17">
        <v>0</v>
      </c>
      <c r="C8" s="17">
        <v>0</v>
      </c>
      <c r="D8" s="17">
        <v>0</v>
      </c>
      <c r="E8" s="17">
        <v>0</v>
      </c>
      <c r="F8" s="87">
        <f t="shared" si="0"/>
        <v>0</v>
      </c>
    </row>
    <row r="9" spans="1:6">
      <c r="A9" s="88" t="s">
        <v>286</v>
      </c>
      <c r="B9" s="17">
        <v>0</v>
      </c>
      <c r="C9" s="17">
        <v>0</v>
      </c>
      <c r="D9" s="17">
        <v>0</v>
      </c>
      <c r="E9" s="17">
        <v>0</v>
      </c>
      <c r="F9" s="87">
        <f t="shared" si="0"/>
        <v>0</v>
      </c>
    </row>
    <row r="10" spans="1:6">
      <c r="A10" s="79" t="s">
        <v>94</v>
      </c>
      <c r="B10" s="89">
        <f>SUM(B4:B9)</f>
        <v>0</v>
      </c>
      <c r="C10" s="89">
        <f>SUM(C4:C9)</f>
        <v>0</v>
      </c>
      <c r="D10" s="89">
        <f>SUM(D4:D9)</f>
        <v>0</v>
      </c>
      <c r="E10" s="89">
        <f>SUM(E4:E9)</f>
        <v>0</v>
      </c>
      <c r="F10" s="89">
        <f>SUM(F4:F9)</f>
        <v>0</v>
      </c>
    </row>
    <row r="11" spans="1:8">
      <c r="A11" s="49" t="s">
        <v>287</v>
      </c>
      <c r="B11" s="17"/>
      <c r="C11" s="17"/>
      <c r="D11" s="87"/>
      <c r="E11" s="87"/>
      <c r="F11" s="87"/>
      <c r="H11" s="90"/>
    </row>
    <row r="12" spans="1:6">
      <c r="A12" s="37" t="s">
        <v>288</v>
      </c>
      <c r="B12" s="17">
        <v>0</v>
      </c>
      <c r="C12" s="17">
        <v>0</v>
      </c>
      <c r="D12" s="17">
        <v>0</v>
      </c>
      <c r="E12" s="17">
        <v>0</v>
      </c>
      <c r="F12" s="87"/>
    </row>
    <row r="13" spans="1:6">
      <c r="A13" s="37" t="s">
        <v>289</v>
      </c>
      <c r="B13" s="17">
        <v>0</v>
      </c>
      <c r="C13" s="17">
        <v>0</v>
      </c>
      <c r="D13" s="17">
        <v>0</v>
      </c>
      <c r="E13" s="17">
        <v>0</v>
      </c>
      <c r="F13" s="87"/>
    </row>
    <row r="14" spans="1:6">
      <c r="A14" s="37" t="s">
        <v>290</v>
      </c>
      <c r="B14" s="17">
        <v>0</v>
      </c>
      <c r="C14" s="17">
        <v>0</v>
      </c>
      <c r="D14" s="17">
        <v>0</v>
      </c>
      <c r="E14" s="17">
        <v>0</v>
      </c>
      <c r="F14" s="87"/>
    </row>
    <row r="15" spans="1:6">
      <c r="A15" s="37" t="s">
        <v>291</v>
      </c>
      <c r="B15" s="17">
        <v>0</v>
      </c>
      <c r="C15" s="17">
        <v>0</v>
      </c>
      <c r="D15" s="17">
        <v>0</v>
      </c>
      <c r="E15" s="17">
        <v>0</v>
      </c>
      <c r="F15" s="87"/>
    </row>
    <row r="16" spans="1:6">
      <c r="A16" s="79" t="s">
        <v>94</v>
      </c>
      <c r="B16" s="89">
        <f>SUM(B12:B15)</f>
        <v>0</v>
      </c>
      <c r="C16" s="89">
        <f>SUM(C12:C15)</f>
        <v>0</v>
      </c>
      <c r="D16" s="89">
        <f>SUM(D12:D15)</f>
        <v>0</v>
      </c>
      <c r="E16" s="89">
        <f>SUM(E12:E13)</f>
        <v>0</v>
      </c>
      <c r="F16" s="91">
        <f>SUM(B16:D16)</f>
        <v>0</v>
      </c>
    </row>
    <row r="17" spans="1:6">
      <c r="A17" s="84" t="s">
        <v>292</v>
      </c>
      <c r="B17" s="16"/>
      <c r="C17" s="87"/>
      <c r="D17" s="87"/>
      <c r="E17" s="87"/>
      <c r="F17" s="87"/>
    </row>
    <row r="18" spans="1:6">
      <c r="A18" s="88" t="s">
        <v>293</v>
      </c>
      <c r="B18" s="87">
        <v>0</v>
      </c>
      <c r="C18" s="87">
        <v>0</v>
      </c>
      <c r="D18" s="87">
        <v>0</v>
      </c>
      <c r="E18" s="87">
        <v>0</v>
      </c>
      <c r="F18" s="87">
        <f>SUM(B18:E18)</f>
        <v>0</v>
      </c>
    </row>
    <row r="19" spans="1:6">
      <c r="A19" s="88" t="s">
        <v>294</v>
      </c>
      <c r="B19" s="87">
        <v>0</v>
      </c>
      <c r="C19" s="87">
        <v>0</v>
      </c>
      <c r="D19" s="87">
        <v>0</v>
      </c>
      <c r="E19" s="87">
        <v>0</v>
      </c>
      <c r="F19" s="87">
        <f>SUM(B19:E19)</f>
        <v>0</v>
      </c>
    </row>
    <row r="20" spans="1:6">
      <c r="A20" s="88" t="s">
        <v>295</v>
      </c>
      <c r="B20" s="87">
        <v>0</v>
      </c>
      <c r="C20" s="87">
        <v>0</v>
      </c>
      <c r="D20" s="87">
        <v>0</v>
      </c>
      <c r="E20" s="87">
        <v>0</v>
      </c>
      <c r="F20" s="87">
        <f>SUM(B20:E20)</f>
        <v>0</v>
      </c>
    </row>
    <row r="21" spans="1:6">
      <c r="A21" s="88" t="s">
        <v>296</v>
      </c>
      <c r="B21" s="87">
        <v>0</v>
      </c>
      <c r="C21" s="87">
        <v>0</v>
      </c>
      <c r="D21" s="87">
        <v>0</v>
      </c>
      <c r="E21" s="87">
        <v>0</v>
      </c>
      <c r="F21" s="87">
        <f>SUM(B21:E21)</f>
        <v>0</v>
      </c>
    </row>
    <row r="22" spans="1:6">
      <c r="A22" s="79" t="s">
        <v>94</v>
      </c>
      <c r="B22" s="89">
        <f>SUM(B19:B21)</f>
        <v>0</v>
      </c>
      <c r="C22" s="89">
        <f>SUM(C18:C21)</f>
        <v>0</v>
      </c>
      <c r="D22" s="89">
        <f>SUM(D18:D21)</f>
        <v>0</v>
      </c>
      <c r="E22" s="89">
        <f>SUM(E18:E21)</f>
        <v>0</v>
      </c>
      <c r="F22" s="89">
        <f>SUM(F18:F21)</f>
        <v>0</v>
      </c>
    </row>
    <row r="23" spans="1:10">
      <c r="A23" s="84" t="s">
        <v>297</v>
      </c>
      <c r="B23" s="16"/>
      <c r="C23" s="16"/>
      <c r="D23" s="87"/>
      <c r="E23" s="87"/>
      <c r="F23" s="87"/>
      <c r="I23" s="96"/>
      <c r="J23" s="97"/>
    </row>
    <row r="24" spans="1:9">
      <c r="A24" s="92" t="s">
        <v>298</v>
      </c>
      <c r="B24" s="17">
        <v>0</v>
      </c>
      <c r="C24" s="17">
        <v>0</v>
      </c>
      <c r="D24" s="93">
        <v>0</v>
      </c>
      <c r="E24" s="17">
        <v>0</v>
      </c>
      <c r="F24" s="87">
        <f t="shared" ref="F24:F54" si="1">SUM(B24:E24)</f>
        <v>0</v>
      </c>
      <c r="I24" s="96"/>
    </row>
    <row r="25" spans="1:9">
      <c r="A25" s="88" t="s">
        <v>299</v>
      </c>
      <c r="B25" s="17">
        <v>0</v>
      </c>
      <c r="C25" s="17">
        <v>0</v>
      </c>
      <c r="D25" s="93">
        <v>0</v>
      </c>
      <c r="E25" s="17">
        <v>0</v>
      </c>
      <c r="F25" s="87">
        <f t="shared" si="1"/>
        <v>0</v>
      </c>
      <c r="I25" s="96"/>
    </row>
    <row r="26" spans="1:9">
      <c r="A26" s="88" t="s">
        <v>300</v>
      </c>
      <c r="B26" s="17">
        <v>0</v>
      </c>
      <c r="C26" s="17">
        <v>0</v>
      </c>
      <c r="D26" s="93">
        <v>0</v>
      </c>
      <c r="E26" s="17">
        <v>0</v>
      </c>
      <c r="F26" s="87">
        <f t="shared" si="1"/>
        <v>0</v>
      </c>
      <c r="I26" s="96"/>
    </row>
    <row r="27" spans="1:9">
      <c r="A27" s="92" t="s">
        <v>301</v>
      </c>
      <c r="B27" s="17">
        <v>0</v>
      </c>
      <c r="C27" s="17">
        <v>0</v>
      </c>
      <c r="D27" s="93">
        <v>0</v>
      </c>
      <c r="E27" s="17">
        <v>0</v>
      </c>
      <c r="F27" s="87">
        <f t="shared" si="1"/>
        <v>0</v>
      </c>
      <c r="I27" s="96"/>
    </row>
    <row r="28" spans="1:9">
      <c r="A28" s="92" t="s">
        <v>302</v>
      </c>
      <c r="B28" s="17">
        <v>0</v>
      </c>
      <c r="C28" s="17">
        <v>0</v>
      </c>
      <c r="D28" s="93">
        <v>0</v>
      </c>
      <c r="E28" s="17">
        <v>0</v>
      </c>
      <c r="F28" s="87">
        <f t="shared" si="1"/>
        <v>0</v>
      </c>
      <c r="I28" s="96"/>
    </row>
    <row r="29" spans="1:9">
      <c r="A29" s="16" t="s">
        <v>303</v>
      </c>
      <c r="B29" s="17">
        <v>0</v>
      </c>
      <c r="C29" s="17">
        <v>0</v>
      </c>
      <c r="D29" s="93">
        <v>0</v>
      </c>
      <c r="E29" s="17">
        <v>0</v>
      </c>
      <c r="F29" s="87">
        <f t="shared" si="1"/>
        <v>0</v>
      </c>
      <c r="I29" s="96"/>
    </row>
    <row r="30" spans="1:6">
      <c r="A30" s="94" t="s">
        <v>304</v>
      </c>
      <c r="B30" s="17">
        <v>0</v>
      </c>
      <c r="C30" s="17">
        <v>0</v>
      </c>
      <c r="D30" s="93">
        <v>0</v>
      </c>
      <c r="E30" s="17">
        <v>0</v>
      </c>
      <c r="F30" s="87">
        <f t="shared" si="1"/>
        <v>0</v>
      </c>
    </row>
    <row r="31" spans="1:6">
      <c r="A31" s="16" t="s">
        <v>305</v>
      </c>
      <c r="B31" s="17">
        <v>0</v>
      </c>
      <c r="C31" s="17">
        <v>0</v>
      </c>
      <c r="D31" s="93">
        <v>0</v>
      </c>
      <c r="E31" s="17">
        <v>0</v>
      </c>
      <c r="F31" s="87">
        <f t="shared" si="1"/>
        <v>0</v>
      </c>
    </row>
    <row r="32" spans="1:6">
      <c r="A32" s="16" t="s">
        <v>306</v>
      </c>
      <c r="B32" s="17">
        <v>0</v>
      </c>
      <c r="C32" s="17">
        <v>0</v>
      </c>
      <c r="D32" s="93">
        <v>0</v>
      </c>
      <c r="E32" s="17">
        <v>0</v>
      </c>
      <c r="F32" s="87">
        <f t="shared" si="1"/>
        <v>0</v>
      </c>
    </row>
    <row r="33" spans="1:6">
      <c r="A33" s="16" t="s">
        <v>307</v>
      </c>
      <c r="B33" s="17">
        <v>0</v>
      </c>
      <c r="C33" s="17">
        <v>0</v>
      </c>
      <c r="D33" s="93">
        <v>0</v>
      </c>
      <c r="E33" s="17">
        <v>0</v>
      </c>
      <c r="F33" s="87">
        <f t="shared" si="1"/>
        <v>0</v>
      </c>
    </row>
    <row r="34" spans="1:6">
      <c r="A34" s="16" t="s">
        <v>308</v>
      </c>
      <c r="B34" s="17">
        <v>0</v>
      </c>
      <c r="C34" s="17">
        <v>0</v>
      </c>
      <c r="D34" s="93">
        <v>0</v>
      </c>
      <c r="E34" s="17">
        <v>0</v>
      </c>
      <c r="F34" s="87">
        <f t="shared" si="1"/>
        <v>0</v>
      </c>
    </row>
    <row r="35" spans="1:6">
      <c r="A35" s="16" t="s">
        <v>309</v>
      </c>
      <c r="B35" s="17">
        <v>0</v>
      </c>
      <c r="C35" s="17">
        <v>0</v>
      </c>
      <c r="D35" s="93">
        <v>0</v>
      </c>
      <c r="E35" s="17">
        <v>0</v>
      </c>
      <c r="F35" s="87">
        <f t="shared" si="1"/>
        <v>0</v>
      </c>
    </row>
    <row r="36" spans="1:6">
      <c r="A36" s="16" t="s">
        <v>310</v>
      </c>
      <c r="B36" s="17">
        <v>0</v>
      </c>
      <c r="C36" s="17">
        <v>0</v>
      </c>
      <c r="D36" s="93">
        <v>0</v>
      </c>
      <c r="E36" s="17">
        <v>0</v>
      </c>
      <c r="F36" s="87">
        <f t="shared" si="1"/>
        <v>0</v>
      </c>
    </row>
    <row r="37" spans="1:6">
      <c r="A37" s="16" t="s">
        <v>311</v>
      </c>
      <c r="B37" s="17">
        <v>0</v>
      </c>
      <c r="C37" s="17">
        <v>0</v>
      </c>
      <c r="D37" s="93">
        <v>0</v>
      </c>
      <c r="E37" s="17">
        <v>0</v>
      </c>
      <c r="F37" s="87">
        <f t="shared" si="1"/>
        <v>0</v>
      </c>
    </row>
    <row r="38" spans="1:6">
      <c r="A38" s="16" t="s">
        <v>312</v>
      </c>
      <c r="B38" s="17">
        <v>0</v>
      </c>
      <c r="C38" s="17">
        <v>0</v>
      </c>
      <c r="D38" s="93">
        <v>0</v>
      </c>
      <c r="E38" s="17">
        <v>0</v>
      </c>
      <c r="F38" s="87">
        <f t="shared" si="1"/>
        <v>0</v>
      </c>
    </row>
    <row r="39" spans="1:6">
      <c r="A39" s="16" t="s">
        <v>313</v>
      </c>
      <c r="B39" s="17">
        <v>0</v>
      </c>
      <c r="C39" s="17">
        <v>0</v>
      </c>
      <c r="D39" s="93">
        <v>0</v>
      </c>
      <c r="E39" s="17">
        <v>0</v>
      </c>
      <c r="F39" s="87">
        <f t="shared" si="1"/>
        <v>0</v>
      </c>
    </row>
    <row r="40" spans="1:6">
      <c r="A40" s="94" t="s">
        <v>314</v>
      </c>
      <c r="B40" s="17">
        <v>0</v>
      </c>
      <c r="C40" s="17">
        <v>0</v>
      </c>
      <c r="D40" s="93">
        <v>0</v>
      </c>
      <c r="E40" s="17">
        <v>0</v>
      </c>
      <c r="F40" s="87">
        <f t="shared" si="1"/>
        <v>0</v>
      </c>
    </row>
    <row r="41" spans="1:6">
      <c r="A41" s="94" t="s">
        <v>315</v>
      </c>
      <c r="B41" s="17">
        <v>0</v>
      </c>
      <c r="C41" s="17">
        <v>0</v>
      </c>
      <c r="D41" s="93">
        <v>0</v>
      </c>
      <c r="E41" s="17">
        <v>0</v>
      </c>
      <c r="F41" s="87">
        <f t="shared" si="1"/>
        <v>0</v>
      </c>
    </row>
    <row r="42" spans="1:6">
      <c r="A42" s="94" t="s">
        <v>316</v>
      </c>
      <c r="B42" s="17">
        <v>0</v>
      </c>
      <c r="C42" s="17">
        <v>0</v>
      </c>
      <c r="D42" s="93">
        <v>0</v>
      </c>
      <c r="E42" s="17">
        <v>0</v>
      </c>
      <c r="F42" s="87">
        <f t="shared" si="1"/>
        <v>0</v>
      </c>
    </row>
    <row r="43" spans="1:6">
      <c r="A43" s="94" t="s">
        <v>317</v>
      </c>
      <c r="B43" s="17">
        <v>0</v>
      </c>
      <c r="C43" s="17">
        <v>0</v>
      </c>
      <c r="D43" s="93">
        <v>0</v>
      </c>
      <c r="E43" s="17">
        <v>0</v>
      </c>
      <c r="F43" s="87">
        <f t="shared" si="1"/>
        <v>0</v>
      </c>
    </row>
    <row r="44" spans="1:6">
      <c r="A44" s="94" t="s">
        <v>318</v>
      </c>
      <c r="B44" s="17">
        <v>0</v>
      </c>
      <c r="C44" s="17">
        <v>0</v>
      </c>
      <c r="D44" s="93">
        <v>0</v>
      </c>
      <c r="E44" s="17">
        <v>0</v>
      </c>
      <c r="F44" s="87">
        <f t="shared" si="1"/>
        <v>0</v>
      </c>
    </row>
    <row r="45" spans="1:6">
      <c r="A45" s="16" t="s">
        <v>319</v>
      </c>
      <c r="B45" s="17">
        <v>0</v>
      </c>
      <c r="C45" s="17">
        <v>0</v>
      </c>
      <c r="D45" s="93">
        <v>0</v>
      </c>
      <c r="E45" s="17">
        <v>0</v>
      </c>
      <c r="F45" s="87">
        <f t="shared" si="1"/>
        <v>0</v>
      </c>
    </row>
    <row r="46" spans="1:6">
      <c r="A46" s="16" t="s">
        <v>320</v>
      </c>
      <c r="B46" s="17">
        <v>0</v>
      </c>
      <c r="C46" s="17">
        <v>0</v>
      </c>
      <c r="D46" s="93">
        <v>0</v>
      </c>
      <c r="E46" s="17">
        <v>0</v>
      </c>
      <c r="F46" s="87">
        <f t="shared" si="1"/>
        <v>0</v>
      </c>
    </row>
    <row r="47" spans="1:6">
      <c r="A47" s="16" t="s">
        <v>321</v>
      </c>
      <c r="B47" s="17">
        <v>0</v>
      </c>
      <c r="C47" s="17">
        <v>0</v>
      </c>
      <c r="D47" s="93">
        <v>0</v>
      </c>
      <c r="E47" s="17">
        <v>0</v>
      </c>
      <c r="F47" s="87">
        <f t="shared" si="1"/>
        <v>0</v>
      </c>
    </row>
    <row r="48" spans="1:6">
      <c r="A48" s="94" t="s">
        <v>322</v>
      </c>
      <c r="B48" s="17">
        <v>0</v>
      </c>
      <c r="C48" s="17">
        <v>0</v>
      </c>
      <c r="D48" s="93">
        <v>0</v>
      </c>
      <c r="E48" s="17">
        <v>0</v>
      </c>
      <c r="F48" s="87">
        <f t="shared" si="1"/>
        <v>0</v>
      </c>
    </row>
    <row r="49" spans="1:6">
      <c r="A49" s="94" t="s">
        <v>323</v>
      </c>
      <c r="B49" s="17">
        <v>0</v>
      </c>
      <c r="C49" s="17">
        <v>0</v>
      </c>
      <c r="D49" s="93">
        <v>0</v>
      </c>
      <c r="E49" s="17">
        <v>0</v>
      </c>
      <c r="F49" s="87">
        <f t="shared" si="1"/>
        <v>0</v>
      </c>
    </row>
    <row r="50" spans="1:6">
      <c r="A50" s="94" t="s">
        <v>324</v>
      </c>
      <c r="B50" s="17">
        <v>0</v>
      </c>
      <c r="C50" s="17">
        <v>0</v>
      </c>
      <c r="D50" s="93">
        <v>0</v>
      </c>
      <c r="E50" s="17">
        <v>0</v>
      </c>
      <c r="F50" s="87">
        <f t="shared" si="1"/>
        <v>0</v>
      </c>
    </row>
    <row r="51" spans="1:6">
      <c r="A51" s="94" t="s">
        <v>325</v>
      </c>
      <c r="B51" s="17">
        <v>0</v>
      </c>
      <c r="C51" s="17">
        <v>0</v>
      </c>
      <c r="D51" s="93">
        <v>0</v>
      </c>
      <c r="E51" s="17">
        <v>0</v>
      </c>
      <c r="F51" s="87">
        <f t="shared" si="1"/>
        <v>0</v>
      </c>
    </row>
    <row r="52" spans="1:6">
      <c r="A52" s="94" t="s">
        <v>326</v>
      </c>
      <c r="B52" s="17">
        <v>0</v>
      </c>
      <c r="C52" s="17">
        <v>0</v>
      </c>
      <c r="D52" s="93">
        <v>0</v>
      </c>
      <c r="E52" s="17">
        <v>0</v>
      </c>
      <c r="F52" s="87"/>
    </row>
    <row r="53" spans="1:6">
      <c r="A53" s="94" t="s">
        <v>327</v>
      </c>
      <c r="B53" s="17">
        <v>0</v>
      </c>
      <c r="C53" s="17">
        <v>0</v>
      </c>
      <c r="D53" s="93">
        <v>0</v>
      </c>
      <c r="E53" s="17">
        <v>0</v>
      </c>
      <c r="F53" s="87">
        <f t="shared" si="1"/>
        <v>0</v>
      </c>
    </row>
    <row r="54" spans="1:6">
      <c r="A54" s="94" t="s">
        <v>328</v>
      </c>
      <c r="B54" s="17">
        <v>0</v>
      </c>
      <c r="C54" s="17">
        <v>0</v>
      </c>
      <c r="D54" s="93">
        <v>0</v>
      </c>
      <c r="E54" s="17">
        <v>0</v>
      </c>
      <c r="F54" s="87">
        <f t="shared" si="1"/>
        <v>0</v>
      </c>
    </row>
    <row r="55" spans="1:6">
      <c r="A55" s="95" t="s">
        <v>94</v>
      </c>
      <c r="B55" s="89">
        <f>SUM(B23:B54)</f>
        <v>0</v>
      </c>
      <c r="C55" s="89">
        <f>SUM(C23:C54)</f>
        <v>0</v>
      </c>
      <c r="D55" s="89">
        <f>SUM(D23:D54)</f>
        <v>0</v>
      </c>
      <c r="E55" s="89">
        <f>SUM(E23:E54)</f>
        <v>0</v>
      </c>
      <c r="F55" s="89">
        <f>SUM(F23:F54)</f>
        <v>0</v>
      </c>
    </row>
    <row r="56" spans="9:10">
      <c r="I56" s="96"/>
      <c r="J56" s="97"/>
    </row>
    <row r="57" spans="1:10">
      <c r="A57" s="77" t="s">
        <v>275</v>
      </c>
      <c r="B57" s="90">
        <f>B10+B16+B22+B55</f>
        <v>0</v>
      </c>
      <c r="C57" s="90">
        <f>C10+C16+C22+C55</f>
        <v>0</v>
      </c>
      <c r="D57" s="90">
        <f>D10+D16+D22+D55</f>
        <v>0</v>
      </c>
      <c r="E57" s="90">
        <f>E10+E16+E22+E55</f>
        <v>0</v>
      </c>
      <c r="F57" s="90">
        <f>F10+F16+F22+F55</f>
        <v>0</v>
      </c>
      <c r="I57" s="96"/>
      <c r="J57" s="97"/>
    </row>
    <row r="60" spans="3:3">
      <c r="C60" s="90"/>
    </row>
  </sheetData>
  <printOptions gridLines="1"/>
  <pageMargins left="0.7" right="0.7" top="0.75" bottom="0.75" header="0.3" footer="0.3"/>
  <pageSetup paperSize="9" scale="90" orientation="portrait"/>
  <headerFooter>
    <oddHeader>&amp;C&amp;F
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24" sqref="G24"/>
    </sheetView>
  </sheetViews>
  <sheetFormatPr defaultColWidth="9.14285714285714" defaultRowHeight="15" outlineLevelCol="4"/>
  <cols>
    <col min="1" max="1" width="27.5714285714286"/>
    <col min="2" max="2" width="12" customWidth="1"/>
    <col min="3" max="3" width="13.5714285714286" customWidth="1"/>
    <col min="4" max="4" width="15.2857142857143"/>
    <col min="5" max="5" width="12.5714285714286"/>
  </cols>
  <sheetData>
    <row r="1" spans="1:5">
      <c r="A1" s="51" t="s">
        <v>329</v>
      </c>
      <c r="B1" s="52"/>
      <c r="C1" s="52"/>
      <c r="D1" s="52"/>
      <c r="E1" s="53"/>
    </row>
    <row r="2" s="50" customFormat="1" spans="1:5">
      <c r="A2" s="54"/>
      <c r="B2" s="55" t="s">
        <v>330</v>
      </c>
      <c r="C2" s="55" t="s">
        <v>331</v>
      </c>
      <c r="D2" s="55"/>
      <c r="E2" s="56"/>
    </row>
    <row r="3" spans="1:5">
      <c r="A3" s="57" t="s">
        <v>332</v>
      </c>
      <c r="B3" s="58">
        <v>132500</v>
      </c>
      <c r="C3" s="59"/>
      <c r="D3" s="60"/>
      <c r="E3" s="61"/>
    </row>
    <row r="4" spans="1:5">
      <c r="A4" s="57" t="s">
        <v>333</v>
      </c>
      <c r="B4" s="58">
        <v>74560</v>
      </c>
      <c r="C4" s="62"/>
      <c r="D4" s="60"/>
      <c r="E4" s="63"/>
    </row>
    <row r="5" spans="1:5">
      <c r="A5" s="57" t="s">
        <v>334</v>
      </c>
      <c r="B5" s="64">
        <v>77924</v>
      </c>
      <c r="C5" s="64">
        <v>69873.38</v>
      </c>
      <c r="D5" s="60"/>
      <c r="E5" s="63"/>
    </row>
    <row r="6" spans="1:5">
      <c r="A6" s="57" t="s">
        <v>335</v>
      </c>
      <c r="B6" s="65">
        <v>9418</v>
      </c>
      <c r="C6" s="65">
        <v>119180.81</v>
      </c>
      <c r="D6" s="60"/>
      <c r="E6" s="61"/>
    </row>
    <row r="7" spans="1:5">
      <c r="A7" s="57"/>
      <c r="B7" s="65"/>
      <c r="C7" s="59"/>
      <c r="D7" s="60"/>
      <c r="E7" s="61"/>
    </row>
    <row r="8" spans="1:5">
      <c r="A8" s="66"/>
      <c r="B8" s="58"/>
      <c r="C8" s="62"/>
      <c r="D8" s="60"/>
      <c r="E8" s="63"/>
    </row>
    <row r="9" spans="1:5">
      <c r="A9" s="66" t="s">
        <v>336</v>
      </c>
      <c r="B9" s="58">
        <f>B3</f>
        <v>132500</v>
      </c>
      <c r="C9" s="67">
        <f>'RERA sold units details'!D34</f>
        <v>3653.4400541883</v>
      </c>
      <c r="D9" s="60">
        <f>B9*C9</f>
        <v>484080807.17995</v>
      </c>
      <c r="E9" s="63"/>
    </row>
    <row r="10" ht="15.75" spans="1:5">
      <c r="A10" s="66"/>
      <c r="B10" s="58"/>
      <c r="C10" s="59"/>
      <c r="D10" s="68">
        <f>SUM(D9)</f>
        <v>484080807.17995</v>
      </c>
      <c r="E10" s="61"/>
    </row>
    <row r="11" spans="1:5">
      <c r="A11" s="66"/>
      <c r="B11" s="58"/>
      <c r="C11" s="62"/>
      <c r="D11" s="60"/>
      <c r="E11" s="63"/>
    </row>
    <row r="12" spans="1:5">
      <c r="A12" s="57" t="s">
        <v>337</v>
      </c>
      <c r="B12" s="58"/>
      <c r="C12" s="58"/>
      <c r="D12" s="60">
        <v>0</v>
      </c>
      <c r="E12" s="63"/>
    </row>
    <row r="13" spans="1:5">
      <c r="A13" s="57" t="s">
        <v>280</v>
      </c>
      <c r="B13" s="58"/>
      <c r="C13" s="58"/>
      <c r="D13" s="60">
        <v>15407925</v>
      </c>
      <c r="E13" s="63"/>
    </row>
    <row r="14" spans="1:5">
      <c r="A14" s="57" t="s">
        <v>338</v>
      </c>
      <c r="B14" s="58"/>
      <c r="C14" s="69">
        <v>1300</v>
      </c>
      <c r="D14" s="60">
        <f>B9*1300</f>
        <v>172250000</v>
      </c>
      <c r="E14" s="63"/>
    </row>
    <row r="15" spans="1:5">
      <c r="A15" s="57" t="s">
        <v>339</v>
      </c>
      <c r="B15" s="58"/>
      <c r="C15" s="69">
        <v>1300</v>
      </c>
      <c r="D15" s="60">
        <f>B4*C15</f>
        <v>96928000</v>
      </c>
      <c r="E15" s="61"/>
    </row>
    <row r="16" spans="1:5">
      <c r="A16" s="57" t="s">
        <v>340</v>
      </c>
      <c r="B16" s="58"/>
      <c r="C16" s="69">
        <v>2500</v>
      </c>
      <c r="D16" s="60">
        <f>C16*B6</f>
        <v>23545000</v>
      </c>
      <c r="E16" s="63"/>
    </row>
    <row r="17" spans="1:5">
      <c r="A17" s="57" t="s">
        <v>341</v>
      </c>
      <c r="B17" s="58"/>
      <c r="C17" s="69">
        <v>800</v>
      </c>
      <c r="D17" s="60">
        <f>C17*B5</f>
        <v>62339200</v>
      </c>
      <c r="E17" s="63"/>
    </row>
    <row r="18" ht="15.75" spans="1:5">
      <c r="A18" s="70"/>
      <c r="B18" s="58"/>
      <c r="C18" s="58"/>
      <c r="D18" s="71">
        <f>SUM(D12:D17)</f>
        <v>370470125</v>
      </c>
      <c r="E18" s="63"/>
    </row>
    <row r="19" spans="1:5">
      <c r="A19" s="70"/>
      <c r="B19" s="58"/>
      <c r="C19" s="58"/>
      <c r="D19" s="72"/>
      <c r="E19" s="63"/>
    </row>
    <row r="20" spans="1:5">
      <c r="A20" s="70" t="s">
        <v>342</v>
      </c>
      <c r="B20" s="58"/>
      <c r="C20" s="58"/>
      <c r="D20" s="72">
        <v>37047012.5</v>
      </c>
      <c r="E20" s="63"/>
    </row>
    <row r="21" spans="1:5">
      <c r="A21" s="70" t="s">
        <v>343</v>
      </c>
      <c r="B21" s="58"/>
      <c r="C21" s="58"/>
      <c r="D21" s="72">
        <f>D18-D20</f>
        <v>333423112.5</v>
      </c>
      <c r="E21" s="63"/>
    </row>
    <row r="22" ht="15.75" spans="1:5">
      <c r="A22" s="70" t="s">
        <v>344</v>
      </c>
      <c r="B22" s="58"/>
      <c r="C22" s="58"/>
      <c r="D22" s="71">
        <f>D20+D21</f>
        <v>370470125</v>
      </c>
      <c r="E22" s="63"/>
    </row>
    <row r="23" spans="1:5">
      <c r="A23" s="70"/>
      <c r="B23" s="58"/>
      <c r="C23" s="58"/>
      <c r="D23" s="72"/>
      <c r="E23" s="63"/>
    </row>
    <row r="24" spans="1:5">
      <c r="A24" s="70" t="s">
        <v>345</v>
      </c>
      <c r="B24" s="58"/>
      <c r="C24" s="58"/>
      <c r="D24" s="72">
        <f>D10-D18</f>
        <v>113610682.17995</v>
      </c>
      <c r="E24" s="63"/>
    </row>
    <row r="25" spans="1:5">
      <c r="A25" s="70"/>
      <c r="B25" s="58"/>
      <c r="C25" s="58"/>
      <c r="D25" s="72"/>
      <c r="E25" s="63"/>
    </row>
    <row r="26" spans="1:5">
      <c r="A26" s="73" t="s">
        <v>346</v>
      </c>
      <c r="B26" s="74"/>
      <c r="C26" s="75"/>
      <c r="D26" s="75">
        <f>D24*100/D10</f>
        <v>23.4693630680791</v>
      </c>
      <c r="E26" s="76"/>
    </row>
  </sheetData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List of documents</vt:lpstr>
      <vt:lpstr>Project cost &amp; estimates</vt:lpstr>
      <vt:lpstr>Unit Details</vt:lpstr>
      <vt:lpstr>Project details</vt:lpstr>
      <vt:lpstr>RERA sold units details</vt:lpstr>
      <vt:lpstr>Loan details</vt:lpstr>
      <vt:lpstr>Financial Summary</vt:lpstr>
      <vt:lpstr>Working - land, finance, admin</vt:lpstr>
      <vt:lpstr>Project Estimate</vt:lpstr>
      <vt:lpstr>Oth Admin Expsns</vt:lpstr>
      <vt:lpstr>WIP</vt:lpstr>
      <vt:lpstr>JDA Advances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2020-01-27T09:35:00Z</dcterms:created>
  <cp:lastPrinted>2020-08-31T07:30:00Z</cp:lastPrinted>
  <dcterms:modified xsi:type="dcterms:W3CDTF">2021-08-20T05:53:58Z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0D51F755857E4274B1A6229F38A9ABD1</vt:lpwstr>
  </property>
</Properties>
</file>