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365" activeTab="1"/>
  </bookViews>
  <sheets>
    <sheet name="GST as on Oct 2021" sheetId="1" r:id="rId1"/>
    <sheet name="Exempt sales Oct 2021" sheetId="2" r:id="rId2"/>
  </sheets>
  <externalReferences>
    <externalReference r:id="rId3"/>
  </externalReferences>
  <definedNames>
    <definedName name="_xlnm._FilterDatabase" localSheetId="0" hidden="1">'GST as on Oct 2021'!$A$5:$W$119</definedName>
    <definedName name="_xlnm._FilterDatabase" localSheetId="1" hidden="1">'Exempt sales Oct 2021'!$A$5:$X$119</definedName>
    <definedName name="_xlnm.Print_Area" localSheetId="1">'Exempt sales Oct 2021'!$A$1:$W$120</definedName>
    <definedName name="_xlnm.Print_Area" localSheetId="0">'GST as on Oct 2021'!$A$1:$W$120</definedName>
    <definedName name="_xlnm.Print_Titles" localSheetId="1">'Exempt sales Oct 2021'!$2:$5</definedName>
    <definedName name="_xlnm.Print_Titles" localSheetId="0">'GST as on Oct 2021'!$2:$5</definedName>
  </definedNames>
  <calcPr calcId="144525"/>
</workbook>
</file>

<file path=xl/sharedStrings.xml><?xml version="1.0" encoding="utf-8"?>
<sst xmlns="http://schemas.openxmlformats.org/spreadsheetml/2006/main" count="59" uniqueCount="37">
  <si>
    <t>Company : SILVER OAK VILLAS-III</t>
  </si>
  <si>
    <t>Project : SILVER OAK VILLAS LLP - Phase III</t>
  </si>
  <si>
    <t>Details of GST Bills for Villa No 101-213 as on Oct '2021</t>
  </si>
  <si>
    <t>S No</t>
  </si>
  <si>
    <t>Villa No</t>
  </si>
  <si>
    <t>Owned By</t>
  </si>
  <si>
    <t>Sales Consideration</t>
  </si>
  <si>
    <t>AOC - 40% on Sale Amount</t>
  </si>
  <si>
    <t>On completion</t>
  </si>
  <si>
    <t>Net</t>
  </si>
  <si>
    <t>Each inst</t>
  </si>
  <si>
    <t>Plinth Date</t>
  </si>
  <si>
    <t>Amount</t>
  </si>
  <si>
    <t>RCC Date</t>
  </si>
  <si>
    <t>Brick &amp; Plstering Date</t>
  </si>
  <si>
    <t>Flooring Date</t>
  </si>
  <si>
    <t>On Completion Date</t>
  </si>
  <si>
    <t>Total Bills as per Mile stone up to Aug'21</t>
  </si>
  <si>
    <t>Total bills raised as on Jul'21</t>
  </si>
  <si>
    <t>Bills to be raised in Aug'21</t>
  </si>
  <si>
    <t>CGST</t>
  </si>
  <si>
    <t>SGST</t>
  </si>
  <si>
    <t>.</t>
  </si>
  <si>
    <t>Company : MODI HOUSING PVT LTD-SOV III</t>
  </si>
  <si>
    <t>Details of Exempt Bills for Villa No 101-213 as on Nov-2021</t>
  </si>
  <si>
    <t>upto current month</t>
  </si>
  <si>
    <t>upto Mar'2020</t>
  </si>
  <si>
    <t>up to previous month</t>
  </si>
  <si>
    <t>only current month invoices</t>
  </si>
  <si>
    <t>AOS -60% on Sale Amount</t>
  </si>
  <si>
    <t>Total Bills as per Mile stone up to Nov'21</t>
  </si>
  <si>
    <t>Total Exempt Bills Raised as on March'20</t>
  </si>
  <si>
    <t>Total Exempt bills raised as on Oct'2021</t>
  </si>
  <si>
    <t>Total Sales upto prevoius month</t>
  </si>
  <si>
    <t>Bills to raised in Nov'21 (current month sales)</t>
  </si>
  <si>
    <t>Credit Notes</t>
  </si>
  <si>
    <t>Bills to raised in Mar'21</t>
  </si>
</sst>
</file>

<file path=xl/styles.xml><?xml version="1.0" encoding="utf-8"?>
<styleSheet xmlns="http://schemas.openxmlformats.org/spreadsheetml/2006/main">
  <numFmts count="7"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  <numFmt numFmtId="178" formatCode="_ * #,##0_ ;_ * \-#,##0_ ;_ * &quot;-&quot;??_ ;_ @_ "/>
    <numFmt numFmtId="179" formatCode="#,##0_ ;[Red]\-#,##0\ "/>
    <numFmt numFmtId="180" formatCode="[$-409]d/mmm/yy;@"/>
  </numFmts>
  <fonts count="24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6" fillId="3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6" borderId="11" applyNumberFormat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5" borderId="1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1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22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/>
    <xf numFmtId="0" fontId="2" fillId="0" borderId="0" xfId="0" applyFont="1" applyFill="1" applyAlignment="1">
      <alignment horizontal="left" vertical="center"/>
    </xf>
    <xf numFmtId="178" fontId="1" fillId="0" borderId="0" xfId="2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left" vertical="center"/>
    </xf>
    <xf numFmtId="179" fontId="1" fillId="0" borderId="0" xfId="0" applyNumberFormat="1" applyFont="1" applyFill="1" applyAlignment="1">
      <alignment horizontal="left" vertical="center"/>
    </xf>
    <xf numFmtId="2" fontId="1" fillId="0" borderId="0" xfId="0" applyNumberFormat="1" applyFont="1" applyFill="1" applyAlignment="1">
      <alignment horizontal="left" vertical="center"/>
    </xf>
    <xf numFmtId="178" fontId="1" fillId="0" borderId="0" xfId="2" applyNumberFormat="1" applyFont="1" applyFill="1" applyAlignment="1">
      <alignment horizontal="left" vertical="center"/>
    </xf>
    <xf numFmtId="178" fontId="1" fillId="0" borderId="0" xfId="2" applyNumberFormat="1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78" fontId="2" fillId="0" borderId="1" xfId="2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 applyProtection="1">
      <alignment horizontal="left" vertical="center"/>
      <protection locked="0"/>
    </xf>
    <xf numFmtId="178" fontId="1" fillId="0" borderId="0" xfId="2" applyNumberFormat="1" applyFont="1" applyFill="1" applyAlignment="1">
      <alignment horizontal="right" vertical="center"/>
    </xf>
    <xf numFmtId="178" fontId="1" fillId="0" borderId="0" xfId="2" applyNumberFormat="1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  <protection locked="0"/>
    </xf>
    <xf numFmtId="178" fontId="1" fillId="0" borderId="0" xfId="2" applyNumberFormat="1" applyFont="1" applyFill="1" applyAlignment="1">
      <alignment vertical="center"/>
    </xf>
    <xf numFmtId="3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79" fontId="1" fillId="0" borderId="0" xfId="0" applyNumberFormat="1" applyFont="1" applyFill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left" vertical="center" wrapText="1"/>
    </xf>
    <xf numFmtId="180" fontId="3" fillId="0" borderId="0" xfId="2" applyNumberFormat="1" applyFont="1" applyFill="1" applyAlignment="1" applyProtection="1">
      <alignment horizontal="left" vertical="center"/>
      <protection locked="0"/>
    </xf>
    <xf numFmtId="3" fontId="4" fillId="0" borderId="0" xfId="2" applyNumberFormat="1" applyFont="1" applyFill="1" applyBorder="1" applyAlignment="1" applyProtection="1">
      <alignment horizontal="left" vertical="center"/>
      <protection locked="0"/>
    </xf>
    <xf numFmtId="180" fontId="3" fillId="0" borderId="0" xfId="2" applyNumberFormat="1" applyFont="1" applyFill="1" applyAlignment="1" applyProtection="1">
      <alignment horizontal="left" vertical="center"/>
      <protection locked="0"/>
    </xf>
    <xf numFmtId="3" fontId="4" fillId="0" borderId="0" xfId="2" applyNumberFormat="1" applyFont="1" applyFill="1" applyBorder="1" applyAlignment="1" applyProtection="1">
      <alignment horizontal="left" vertical="center"/>
      <protection locked="0"/>
    </xf>
    <xf numFmtId="180" fontId="4" fillId="0" borderId="0" xfId="2" applyNumberFormat="1" applyFont="1" applyFill="1" applyBorder="1" applyAlignment="1" applyProtection="1">
      <alignment horizontal="left" vertical="center"/>
      <protection locked="0"/>
    </xf>
    <xf numFmtId="180" fontId="4" fillId="0" borderId="0" xfId="2" applyNumberFormat="1" applyFont="1" applyFill="1" applyBorder="1" applyAlignment="1" applyProtection="1">
      <alignment horizontal="left" vertical="center"/>
      <protection locked="0"/>
    </xf>
    <xf numFmtId="180" fontId="4" fillId="2" borderId="0" xfId="2" applyNumberFormat="1" applyFont="1" applyFill="1" applyBorder="1" applyAlignment="1" applyProtection="1">
      <alignment horizontal="left" vertical="center"/>
      <protection locked="0"/>
    </xf>
    <xf numFmtId="178" fontId="1" fillId="2" borderId="0" xfId="2" applyNumberFormat="1" applyFont="1" applyFill="1" applyAlignment="1">
      <alignment horizontal="right" vertical="center"/>
    </xf>
    <xf numFmtId="180" fontId="4" fillId="0" borderId="0" xfId="2" applyNumberFormat="1" applyFont="1" applyFill="1" applyBorder="1" applyAlignment="1" applyProtection="1">
      <alignment horizontal="left" vertical="center"/>
      <protection locked="0"/>
    </xf>
    <xf numFmtId="3" fontId="4" fillId="0" borderId="0" xfId="2" applyNumberFormat="1" applyFont="1" applyFill="1" applyBorder="1" applyAlignment="1" applyProtection="1">
      <alignment horizontal="left" vertical="center"/>
      <protection locked="0"/>
    </xf>
    <xf numFmtId="3" fontId="3" fillId="0" borderId="0" xfId="2" applyNumberFormat="1" applyFont="1" applyFill="1" applyAlignment="1" applyProtection="1">
      <alignment horizontal="left" vertical="center"/>
      <protection locked="0"/>
    </xf>
    <xf numFmtId="3" fontId="3" fillId="0" borderId="0" xfId="2" applyNumberFormat="1" applyFont="1" applyFill="1" applyAlignment="1" applyProtection="1">
      <alignment horizontal="left" vertical="center"/>
      <protection locked="0"/>
    </xf>
    <xf numFmtId="180" fontId="3" fillId="2" borderId="0" xfId="2" applyNumberFormat="1" applyFont="1" applyFill="1" applyAlignment="1" applyProtection="1">
      <alignment horizontal="left" vertical="center"/>
      <protection locked="0"/>
    </xf>
    <xf numFmtId="3" fontId="4" fillId="2" borderId="0" xfId="2" applyNumberFormat="1" applyFont="1" applyFill="1" applyBorder="1" applyAlignment="1" applyProtection="1">
      <alignment horizontal="left" vertical="center"/>
      <protection locked="0"/>
    </xf>
    <xf numFmtId="3" fontId="1" fillId="0" borderId="0" xfId="0" applyNumberFormat="1" applyFont="1" applyFill="1" applyAlignment="1">
      <alignment horizontal="left" vertical="center"/>
    </xf>
    <xf numFmtId="180" fontId="3" fillId="0" borderId="0" xfId="2" applyNumberFormat="1" applyFont="1" applyFill="1" applyAlignment="1" applyProtection="1">
      <alignment horizontal="left" vertical="center"/>
      <protection locked="0"/>
    </xf>
    <xf numFmtId="2" fontId="1" fillId="0" borderId="0" xfId="0" applyNumberFormat="1" applyFont="1" applyFill="1" applyAlignment="1">
      <alignment horizontal="left" vertical="center" wrapText="1"/>
    </xf>
    <xf numFmtId="178" fontId="1" fillId="0" borderId="0" xfId="2" applyNumberFormat="1" applyFont="1" applyFill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178" fontId="2" fillId="0" borderId="1" xfId="2" applyNumberFormat="1" applyFont="1" applyFill="1" applyBorder="1" applyAlignment="1">
      <alignment horizontal="left" vertical="center" wrapText="1"/>
    </xf>
    <xf numFmtId="178" fontId="1" fillId="0" borderId="0" xfId="2" applyNumberFormat="1" applyFont="1" applyFill="1" applyAlignment="1">
      <alignment horizontal="left" vertical="center"/>
    </xf>
    <xf numFmtId="178" fontId="1" fillId="0" borderId="0" xfId="0" applyNumberFormat="1" applyFont="1" applyFill="1" applyAlignment="1">
      <alignment horizontal="left" vertical="center"/>
    </xf>
    <xf numFmtId="178" fontId="2" fillId="0" borderId="2" xfId="2" applyNumberFormat="1" applyFont="1" applyFill="1" applyBorder="1" applyAlignment="1">
      <alignment horizontal="right" vertical="center"/>
    </xf>
    <xf numFmtId="178" fontId="2" fillId="0" borderId="2" xfId="2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78" fontId="1" fillId="0" borderId="4" xfId="2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178" fontId="2" fillId="0" borderId="6" xfId="2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left" vertical="center"/>
    </xf>
    <xf numFmtId="178" fontId="1" fillId="0" borderId="0" xfId="2" applyNumberFormat="1" applyFont="1" applyFill="1" applyBorder="1" applyAlignment="1">
      <alignment horizontal="right" vertical="center"/>
    </xf>
    <xf numFmtId="178" fontId="1" fillId="0" borderId="0" xfId="2" applyNumberFormat="1" applyFont="1" applyFill="1" applyBorder="1" applyAlignment="1">
      <alignment horizontal="left" vertical="center"/>
    </xf>
    <xf numFmtId="178" fontId="1" fillId="0" borderId="4" xfId="2" applyNumberFormat="1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horizontal="left" vertical="center"/>
    </xf>
    <xf numFmtId="3" fontId="1" fillId="0" borderId="8" xfId="0" applyNumberFormat="1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left" vertical="center" wrapText="1"/>
    </xf>
    <xf numFmtId="180" fontId="3" fillId="0" borderId="0" xfId="2" applyNumberFormat="1" applyFont="1" applyFill="1" applyBorder="1" applyAlignment="1" applyProtection="1">
      <alignment horizontal="left" vertical="center"/>
      <protection locked="0"/>
    </xf>
    <xf numFmtId="178" fontId="4" fillId="0" borderId="0" xfId="2" applyNumberFormat="1" applyFont="1" applyFill="1" applyBorder="1" applyAlignment="1" applyProtection="1">
      <alignment horizontal="left" vertical="center"/>
      <protection locked="0"/>
    </xf>
    <xf numFmtId="178" fontId="3" fillId="0" borderId="0" xfId="2" applyNumberFormat="1" applyFont="1" applyFill="1" applyBorder="1" applyAlignment="1" applyProtection="1">
      <alignment horizontal="left" vertical="center"/>
      <protection locked="0"/>
    </xf>
    <xf numFmtId="3" fontId="1" fillId="0" borderId="0" xfId="0" applyNumberFormat="1" applyFont="1" applyFill="1" applyBorder="1" applyAlignment="1">
      <alignment horizontal="left" vertical="center"/>
    </xf>
    <xf numFmtId="180" fontId="3" fillId="2" borderId="0" xfId="2" applyNumberFormat="1" applyFont="1" applyFill="1" applyBorder="1" applyAlignment="1" applyProtection="1">
      <alignment horizontal="left" vertical="center"/>
      <protection locked="0"/>
    </xf>
    <xf numFmtId="178" fontId="1" fillId="2" borderId="0" xfId="2" applyNumberFormat="1" applyFont="1" applyFill="1" applyBorder="1" applyAlignment="1">
      <alignment horizontal="right" vertical="center"/>
    </xf>
    <xf numFmtId="178" fontId="3" fillId="0" borderId="0" xfId="2" applyNumberFormat="1" applyFont="1" applyFill="1" applyAlignment="1" applyProtection="1">
      <alignment horizontal="left" vertical="center"/>
      <protection locked="0"/>
    </xf>
    <xf numFmtId="178" fontId="1" fillId="0" borderId="3" xfId="2" applyNumberFormat="1" applyFont="1" applyFill="1" applyBorder="1" applyAlignment="1">
      <alignment horizontal="left" vertical="center"/>
    </xf>
    <xf numFmtId="178" fontId="1" fillId="0" borderId="7" xfId="2" applyNumberFormat="1" applyFont="1" applyFill="1" applyBorder="1" applyAlignment="1">
      <alignment horizontal="left" vertical="center"/>
    </xf>
    <xf numFmtId="178" fontId="1" fillId="0" borderId="5" xfId="2" applyNumberFormat="1" applyFont="1" applyFill="1" applyBorder="1" applyAlignment="1">
      <alignment horizontal="left" vertical="center"/>
    </xf>
    <xf numFmtId="178" fontId="1" fillId="0" borderId="8" xfId="2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8" fontId="2" fillId="0" borderId="1" xfId="2" applyNumberFormat="1" applyFont="1" applyFill="1" applyBorder="1" applyAlignment="1">
      <alignment horizontal="right" vertical="center"/>
    </xf>
    <xf numFmtId="178" fontId="2" fillId="0" borderId="10" xfId="2" applyNumberFormat="1" applyFont="1" applyFill="1" applyBorder="1" applyAlignment="1">
      <alignment horizontal="right" vertical="center"/>
    </xf>
    <xf numFmtId="178" fontId="2" fillId="0" borderId="9" xfId="2" applyNumberFormat="1" applyFont="1" applyFill="1" applyBorder="1" applyAlignment="1">
      <alignment horizontal="righ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Naresh\NARESH-SOV\Modi%20Housing%20Pvt%20Ltd%20-%20SOV\GST\GST%20Summary%20Sheet\FY%202021-22\2.May%202021\list-flat-report_SOVIII.2021-July-10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-flat-report_SOVIII.2021-Ju"/>
    </sheetNames>
    <sheetDataSet>
      <sheetData sheetId="0">
        <row r="3">
          <cell r="C3">
            <v>101</v>
          </cell>
          <cell r="D3">
            <v>2040</v>
          </cell>
          <cell r="E3">
            <v>165</v>
          </cell>
          <cell r="F3" t="str">
            <v>Cuddapah sree &amp; cuddapah Rangamma Rangaswamy</v>
          </cell>
          <cell r="G3" t="str">
            <v>Mr. Deepak U. Mehta</v>
          </cell>
        </row>
        <row r="4">
          <cell r="C4">
            <v>102</v>
          </cell>
          <cell r="D4">
            <v>2040</v>
          </cell>
          <cell r="E4">
            <v>161</v>
          </cell>
          <cell r="F4" t="str">
            <v>Bellamkonda Pavani</v>
          </cell>
          <cell r="G4" t="str">
            <v>Modi Housing Pvt Ltd.</v>
          </cell>
        </row>
        <row r="5">
          <cell r="C5">
            <v>103</v>
          </cell>
          <cell r="D5">
            <v>2040</v>
          </cell>
          <cell r="E5">
            <v>161</v>
          </cell>
          <cell r="F5" t="str">
            <v>Chunduri Thejovathi</v>
          </cell>
          <cell r="G5" t="str">
            <v>Mr. Deepak U. Mehta</v>
          </cell>
        </row>
        <row r="6">
          <cell r="C6">
            <v>104</v>
          </cell>
          <cell r="D6">
            <v>2040</v>
          </cell>
          <cell r="E6">
            <v>161</v>
          </cell>
          <cell r="F6" t="str">
            <v>K.N.S.S.S.Srinivas &amp; K. Rekha</v>
          </cell>
          <cell r="G6" t="str">
            <v>Modi Housing Pvt Ltd.</v>
          </cell>
        </row>
        <row r="7">
          <cell r="C7">
            <v>105</v>
          </cell>
          <cell r="D7">
            <v>2040</v>
          </cell>
          <cell r="E7">
            <v>161</v>
          </cell>
          <cell r="F7" t="str">
            <v>Guduru Naresh</v>
          </cell>
          <cell r="G7" t="str">
            <v>Mr. Deepak U. Mehta</v>
          </cell>
        </row>
        <row r="8">
          <cell r="C8">
            <v>106</v>
          </cell>
          <cell r="D8">
            <v>2040</v>
          </cell>
          <cell r="E8">
            <v>161</v>
          </cell>
          <cell r="F8" t="str">
            <v>G Subramanian G Sangeeta</v>
          </cell>
          <cell r="G8" t="str">
            <v>Modi Housing Pvt Ltd.</v>
          </cell>
        </row>
        <row r="9">
          <cell r="C9">
            <v>107</v>
          </cell>
          <cell r="D9">
            <v>2040</v>
          </cell>
          <cell r="E9">
            <v>161</v>
          </cell>
          <cell r="F9" t="str">
            <v>Deepti Satya Prasad</v>
          </cell>
          <cell r="G9" t="str">
            <v>Mrs. Harsha D. Mehta</v>
          </cell>
        </row>
        <row r="10">
          <cell r="C10">
            <v>108</v>
          </cell>
          <cell r="D10">
            <v>2040</v>
          </cell>
          <cell r="E10">
            <v>161</v>
          </cell>
          <cell r="F10" t="str">
            <v>Pradeep Mashetti</v>
          </cell>
          <cell r="G10" t="str">
            <v>Modi Housing Pvt Ltd.</v>
          </cell>
        </row>
        <row r="11">
          <cell r="C11">
            <v>109</v>
          </cell>
          <cell r="D11">
            <v>2040</v>
          </cell>
          <cell r="E11">
            <v>161</v>
          </cell>
          <cell r="F11" t="str">
            <v>Tirupati Pavan Kumar &amp; Tirupathi Pragathi</v>
          </cell>
          <cell r="G11" t="str">
            <v>Mrs. Harsha D. Mehta</v>
          </cell>
        </row>
        <row r="12">
          <cell r="C12">
            <v>110</v>
          </cell>
          <cell r="D12">
            <v>2040</v>
          </cell>
          <cell r="E12">
            <v>161</v>
          </cell>
          <cell r="F12" t="str">
            <v>Azghar Hussain Mohammed and Shaik Reshma Parveen</v>
          </cell>
          <cell r="G12" t="str">
            <v>Modi Housing Pvt Ltd.</v>
          </cell>
        </row>
        <row r="13">
          <cell r="C13">
            <v>111</v>
          </cell>
          <cell r="D13">
            <v>2040</v>
          </cell>
          <cell r="E13">
            <v>161</v>
          </cell>
          <cell r="F13" t="str">
            <v>Pasupuleti Narayana</v>
          </cell>
          <cell r="G13" t="str">
            <v>Mrs. Harsha D. Mehta</v>
          </cell>
        </row>
        <row r="14">
          <cell r="C14">
            <v>112</v>
          </cell>
          <cell r="D14">
            <v>2040</v>
          </cell>
          <cell r="E14">
            <v>161</v>
          </cell>
          <cell r="F14" t="str">
            <v>Neti Gopala Krishna Murthy</v>
          </cell>
          <cell r="G14" t="str">
            <v>Modi Housing Pvt Ltd.</v>
          </cell>
        </row>
        <row r="15">
          <cell r="C15">
            <v>113</v>
          </cell>
          <cell r="D15">
            <v>2040</v>
          </cell>
          <cell r="E15">
            <v>161</v>
          </cell>
          <cell r="F15" t="str">
            <v>Srinivas Mr</v>
          </cell>
          <cell r="G15" t="str">
            <v>Mr. Tejas D. Mehta</v>
          </cell>
        </row>
        <row r="16">
          <cell r="C16">
            <v>114</v>
          </cell>
          <cell r="D16">
            <v>2040</v>
          </cell>
          <cell r="E16">
            <v>171</v>
          </cell>
          <cell r="F16" t="str">
            <v>Bathula Pramada Rani</v>
          </cell>
          <cell r="G16" t="str">
            <v>Modi Housing Pvt Ltd.</v>
          </cell>
        </row>
        <row r="17">
          <cell r="C17">
            <v>115</v>
          </cell>
          <cell r="D17">
            <v>2040</v>
          </cell>
          <cell r="E17">
            <v>178</v>
          </cell>
          <cell r="F17" t="str">
            <v>Savaram Ram Mohana Rao</v>
          </cell>
          <cell r="G17" t="str">
            <v>Mr. Sudhir U. Mehta</v>
          </cell>
        </row>
        <row r="18">
          <cell r="C18">
            <v>116</v>
          </cell>
          <cell r="D18">
            <v>2040</v>
          </cell>
          <cell r="E18">
            <v>161</v>
          </cell>
          <cell r="F18" t="str">
            <v>Iruvanti Ram Aakarsh and Truvanti Kameswari</v>
          </cell>
          <cell r="G18" t="str">
            <v>Modi Housing Pvt Ltd.</v>
          </cell>
        </row>
        <row r="19">
          <cell r="C19">
            <v>117</v>
          </cell>
          <cell r="D19">
            <v>2040</v>
          </cell>
          <cell r="E19">
            <v>161</v>
          </cell>
          <cell r="F19" t="str">
            <v>Shaik Farooq Abdullah</v>
          </cell>
          <cell r="G19" t="str">
            <v>Mr. Hardik D. Mehta</v>
          </cell>
        </row>
        <row r="20">
          <cell r="C20">
            <v>118</v>
          </cell>
          <cell r="D20">
            <v>2040</v>
          </cell>
          <cell r="E20">
            <v>161</v>
          </cell>
          <cell r="F20" t="str">
            <v>Theruthomala Shashidar</v>
          </cell>
          <cell r="G20" t="str">
            <v>Modi Housing Pvt Ltd.</v>
          </cell>
        </row>
        <row r="21">
          <cell r="C21">
            <v>119</v>
          </cell>
          <cell r="D21">
            <v>2040</v>
          </cell>
          <cell r="E21">
            <v>161</v>
          </cell>
          <cell r="F21" t="str">
            <v>Laxmi Jyothi</v>
          </cell>
          <cell r="G21" t="str">
            <v>Mrs. Ruchi H. Mehta</v>
          </cell>
        </row>
        <row r="22">
          <cell r="C22">
            <v>120</v>
          </cell>
          <cell r="D22">
            <v>2040</v>
          </cell>
          <cell r="E22">
            <v>161</v>
          </cell>
          <cell r="F22" t="str">
            <v>Vemula Venkateshwar Rao</v>
          </cell>
          <cell r="G22" t="str">
            <v>Modi Housing Pvt Ltd.</v>
          </cell>
        </row>
        <row r="23">
          <cell r="C23">
            <v>121</v>
          </cell>
          <cell r="D23">
            <v>2040</v>
          </cell>
          <cell r="E23">
            <v>161</v>
          </cell>
          <cell r="F23" t="str">
            <v>Srinivas Dutt</v>
          </cell>
          <cell r="G23" t="str">
            <v>Mr. Sudhir U. Mehta</v>
          </cell>
        </row>
        <row r="24">
          <cell r="C24">
            <v>122</v>
          </cell>
          <cell r="D24">
            <v>2040</v>
          </cell>
          <cell r="E24">
            <v>161</v>
          </cell>
          <cell r="F24" t="str">
            <v>Sankalp Gabbita</v>
          </cell>
          <cell r="G24" t="str">
            <v>Modi Housing Pvt Ltd.</v>
          </cell>
        </row>
        <row r="25">
          <cell r="C25">
            <v>123</v>
          </cell>
          <cell r="D25">
            <v>2040</v>
          </cell>
          <cell r="E25">
            <v>161</v>
          </cell>
          <cell r="F25" t="str">
            <v>Sandya Rani Lingampally</v>
          </cell>
          <cell r="G25" t="str">
            <v>Mr. Sudhir U. Mehta</v>
          </cell>
        </row>
        <row r="26">
          <cell r="C26">
            <v>124</v>
          </cell>
          <cell r="D26">
            <v>2040</v>
          </cell>
          <cell r="E26">
            <v>161</v>
          </cell>
          <cell r="F26" t="str">
            <v>Mrs BhimanaVajhula Hymavathi &amp; B R Venkatapathi</v>
          </cell>
          <cell r="G26" t="str">
            <v>Modi Housing Pvt Ltd.</v>
          </cell>
        </row>
        <row r="27">
          <cell r="C27">
            <v>125</v>
          </cell>
          <cell r="D27">
            <v>2040</v>
          </cell>
          <cell r="E27">
            <v>161</v>
          </cell>
          <cell r="F27" t="str">
            <v>Chandra kala</v>
          </cell>
          <cell r="G27" t="str">
            <v>Mrs. Tejal T. Mehta</v>
          </cell>
        </row>
        <row r="28">
          <cell r="C28">
            <v>126</v>
          </cell>
          <cell r="D28">
            <v>2040</v>
          </cell>
          <cell r="E28">
            <v>161</v>
          </cell>
          <cell r="F28" t="str">
            <v>Mannava RamaKrishna</v>
          </cell>
          <cell r="G28" t="str">
            <v>Modi Housing Pvt Ltd.</v>
          </cell>
        </row>
        <row r="29">
          <cell r="C29">
            <v>127</v>
          </cell>
          <cell r="D29">
            <v>2040</v>
          </cell>
          <cell r="E29">
            <v>161</v>
          </cell>
          <cell r="F29" t="str">
            <v>Ms. Anubha Mathew</v>
          </cell>
          <cell r="G29" t="str">
            <v>Mrs. Aaradhana S. Mehta</v>
          </cell>
        </row>
        <row r="30">
          <cell r="C30">
            <v>128</v>
          </cell>
          <cell r="D30">
            <v>2040</v>
          </cell>
          <cell r="E30">
            <v>163</v>
          </cell>
          <cell r="F30" t="str">
            <v>Anuradha .Kothapalli</v>
          </cell>
          <cell r="G30" t="str">
            <v>Modi Housing Pvt Ltd.</v>
          </cell>
        </row>
        <row r="31">
          <cell r="C31">
            <v>129</v>
          </cell>
          <cell r="D31">
            <v>2040</v>
          </cell>
          <cell r="E31">
            <v>165</v>
          </cell>
          <cell r="F31" t="str">
            <v>Hanumanth Shangrala</v>
          </cell>
          <cell r="G31" t="str">
            <v>Modi Housing Pvt Ltd.</v>
          </cell>
        </row>
        <row r="32">
          <cell r="C32">
            <v>130</v>
          </cell>
          <cell r="D32">
            <v>2040</v>
          </cell>
          <cell r="E32">
            <v>161</v>
          </cell>
          <cell r="F32" t="str">
            <v>Pankaj Kumar Goel Nidhi Goel</v>
          </cell>
          <cell r="G32" t="str">
            <v>Mrs. Aaradhana S. Mehta</v>
          </cell>
        </row>
        <row r="33">
          <cell r="C33">
            <v>131</v>
          </cell>
          <cell r="D33">
            <v>2040</v>
          </cell>
          <cell r="E33">
            <v>161</v>
          </cell>
          <cell r="F33" t="str">
            <v>Bishwjeet Kumar Baby Singh</v>
          </cell>
          <cell r="G33" t="str">
            <v>Modi Housing Pvt Ltd.</v>
          </cell>
        </row>
        <row r="34">
          <cell r="C34">
            <v>132</v>
          </cell>
          <cell r="D34">
            <v>2040</v>
          </cell>
          <cell r="E34">
            <v>161</v>
          </cell>
          <cell r="F34" t="str">
            <v>Prashant Narayanrao Bawankar/ Vaishali Prashant</v>
          </cell>
          <cell r="G34" t="str">
            <v>Mrs. Aaradhana S. Mehta</v>
          </cell>
        </row>
        <row r="35">
          <cell r="C35">
            <v>133</v>
          </cell>
          <cell r="D35">
            <v>2040</v>
          </cell>
          <cell r="E35">
            <v>161</v>
          </cell>
          <cell r="F35" t="str">
            <v>Sadanand Bhojak</v>
          </cell>
          <cell r="G35" t="str">
            <v>Modi Housing Pvt Ltd.</v>
          </cell>
        </row>
        <row r="36">
          <cell r="C36">
            <v>134</v>
          </cell>
          <cell r="D36">
            <v>2040</v>
          </cell>
          <cell r="E36">
            <v>161</v>
          </cell>
          <cell r="F36" t="str">
            <v>Tangirala Jaya Durga Bhavani</v>
          </cell>
          <cell r="G36" t="str">
            <v>Mr. Karna S. Mehta</v>
          </cell>
        </row>
        <row r="37">
          <cell r="C37">
            <v>135</v>
          </cell>
          <cell r="D37">
            <v>2040</v>
          </cell>
          <cell r="E37">
            <v>161</v>
          </cell>
          <cell r="F37" t="str">
            <v>Nasani Narender</v>
          </cell>
          <cell r="G37" t="str">
            <v>Modi Housing Pvt Ltd.</v>
          </cell>
        </row>
        <row r="38">
          <cell r="C38">
            <v>136</v>
          </cell>
          <cell r="D38">
            <v>2040</v>
          </cell>
          <cell r="E38">
            <v>161</v>
          </cell>
        </row>
        <row r="38">
          <cell r="G38" t="str">
            <v>Mr. Karna S. Mehta</v>
          </cell>
        </row>
        <row r="39">
          <cell r="C39">
            <v>137</v>
          </cell>
          <cell r="D39">
            <v>2040</v>
          </cell>
          <cell r="E39">
            <v>161</v>
          </cell>
          <cell r="F39" t="str">
            <v>Uday kiran Aelagandula</v>
          </cell>
          <cell r="G39" t="str">
            <v>Modi Housing Pvt Ltd.</v>
          </cell>
        </row>
        <row r="40">
          <cell r="C40">
            <v>138</v>
          </cell>
          <cell r="D40">
            <v>2040</v>
          </cell>
          <cell r="E40">
            <v>161</v>
          </cell>
          <cell r="F40" t="str">
            <v>Venkatesh Vaddepally</v>
          </cell>
          <cell r="G40" t="str">
            <v>Smt. Rajashri K Mehta</v>
          </cell>
        </row>
        <row r="41">
          <cell r="C41">
            <v>139</v>
          </cell>
          <cell r="D41">
            <v>2040</v>
          </cell>
          <cell r="E41">
            <v>161</v>
          </cell>
          <cell r="F41" t="str">
            <v>Vishal Bharath &amp; Mounika</v>
          </cell>
          <cell r="G41" t="str">
            <v>Modi Housing Pvt Ltd.</v>
          </cell>
        </row>
        <row r="42">
          <cell r="C42">
            <v>140</v>
          </cell>
          <cell r="D42">
            <v>2040</v>
          </cell>
          <cell r="E42">
            <v>161</v>
          </cell>
        </row>
        <row r="42">
          <cell r="G42" t="str">
            <v>Smt. Rajashri K Mehta</v>
          </cell>
        </row>
        <row r="43">
          <cell r="C43">
            <v>141</v>
          </cell>
          <cell r="D43">
            <v>2040</v>
          </cell>
          <cell r="E43">
            <v>161</v>
          </cell>
          <cell r="F43" t="str">
            <v>kUSUMA Mahender Kusuma</v>
          </cell>
          <cell r="G43" t="str">
            <v>Modi Housing Pvt Ltd.</v>
          </cell>
        </row>
        <row r="44">
          <cell r="C44">
            <v>142</v>
          </cell>
          <cell r="D44">
            <v>2040</v>
          </cell>
          <cell r="E44">
            <v>161</v>
          </cell>
          <cell r="F44" t="str">
            <v>Shalina Nair</v>
          </cell>
          <cell r="G44" t="str">
            <v>Modi Housing Pvt Ltd.</v>
          </cell>
        </row>
        <row r="45">
          <cell r="C45">
            <v>143</v>
          </cell>
          <cell r="D45">
            <v>2040</v>
          </cell>
          <cell r="E45">
            <v>161</v>
          </cell>
          <cell r="F45" t="str">
            <v>Madhunakar Gottipamula</v>
          </cell>
          <cell r="G45" t="str">
            <v>Modi Housing Pvt Ltd.</v>
          </cell>
        </row>
        <row r="46">
          <cell r="C46">
            <v>144</v>
          </cell>
          <cell r="D46">
            <v>2040</v>
          </cell>
          <cell r="E46">
            <v>161</v>
          </cell>
          <cell r="F46" t="str">
            <v>Supriya .Mrs</v>
          </cell>
          <cell r="G46" t="str">
            <v>Modi Housing Pvt Ltd.</v>
          </cell>
        </row>
        <row r="47">
          <cell r="C47">
            <v>145</v>
          </cell>
          <cell r="D47">
            <v>2040</v>
          </cell>
          <cell r="E47">
            <v>161</v>
          </cell>
          <cell r="F47" t="str">
            <v>Avinash Navaratna</v>
          </cell>
          <cell r="G47" t="str">
            <v>Modi Housing Pvt Ltd.</v>
          </cell>
        </row>
        <row r="48">
          <cell r="C48">
            <v>146</v>
          </cell>
          <cell r="D48">
            <v>2040</v>
          </cell>
          <cell r="E48">
            <v>161</v>
          </cell>
        </row>
        <row r="48">
          <cell r="G48" t="str">
            <v>Modi Housing Pvt Ltd.</v>
          </cell>
        </row>
        <row r="49">
          <cell r="C49">
            <v>147</v>
          </cell>
          <cell r="D49">
            <v>2040</v>
          </cell>
          <cell r="E49">
            <v>172</v>
          </cell>
        </row>
        <row r="49">
          <cell r="G49" t="str">
            <v>Modi Housing Pvt Ltd.</v>
          </cell>
        </row>
        <row r="50">
          <cell r="C50">
            <v>148</v>
          </cell>
          <cell r="D50">
            <v>2040</v>
          </cell>
          <cell r="E50">
            <v>172</v>
          </cell>
          <cell r="F50" t="str">
            <v>Rajendhar Kodepaka</v>
          </cell>
          <cell r="G50" t="str">
            <v>Modi Housing Pvt Ltd.</v>
          </cell>
        </row>
        <row r="51">
          <cell r="C51">
            <v>149</v>
          </cell>
          <cell r="D51">
            <v>2040</v>
          </cell>
          <cell r="E51">
            <v>161</v>
          </cell>
          <cell r="F51" t="str">
            <v>siri kelothu</v>
          </cell>
          <cell r="G51" t="str">
            <v>Modi Housing Pvt Ltd.</v>
          </cell>
        </row>
        <row r="52">
          <cell r="C52">
            <v>150</v>
          </cell>
          <cell r="D52">
            <v>2040</v>
          </cell>
          <cell r="E52">
            <v>161</v>
          </cell>
          <cell r="F52" t="str">
            <v>Ramesh Babu</v>
          </cell>
          <cell r="G52" t="str">
            <v>Modi Housing Pvt Ltd.</v>
          </cell>
        </row>
        <row r="53">
          <cell r="C53">
            <v>151</v>
          </cell>
          <cell r="D53">
            <v>2040</v>
          </cell>
          <cell r="E53">
            <v>161</v>
          </cell>
          <cell r="F53" t="str">
            <v>Hari Kelothu</v>
          </cell>
          <cell r="G53" t="str">
            <v>Modi Housing Pvt Ltd.</v>
          </cell>
        </row>
        <row r="54">
          <cell r="C54">
            <v>152</v>
          </cell>
          <cell r="D54">
            <v>2040</v>
          </cell>
          <cell r="E54">
            <v>161</v>
          </cell>
          <cell r="F54" t="str">
            <v>Pradeep .Mr</v>
          </cell>
          <cell r="G54" t="str">
            <v>Modi Housing Pvt Ltd.</v>
          </cell>
        </row>
        <row r="55">
          <cell r="C55">
            <v>153</v>
          </cell>
          <cell r="D55">
            <v>2040</v>
          </cell>
          <cell r="E55">
            <v>161</v>
          </cell>
          <cell r="F55" t="str">
            <v>Mamta Tiwari</v>
          </cell>
          <cell r="G55" t="str">
            <v>Modi Housing Pvt Ltd.</v>
          </cell>
        </row>
        <row r="56">
          <cell r="C56">
            <v>154</v>
          </cell>
          <cell r="D56">
            <v>2040</v>
          </cell>
          <cell r="E56">
            <v>161</v>
          </cell>
          <cell r="F56" t="str">
            <v>Ravi N</v>
          </cell>
          <cell r="G56" t="str">
            <v>Modi Housing Pvt Ltd.</v>
          </cell>
        </row>
        <row r="57">
          <cell r="C57">
            <v>155</v>
          </cell>
          <cell r="D57">
            <v>2040</v>
          </cell>
          <cell r="E57">
            <v>161</v>
          </cell>
          <cell r="F57" t="str">
            <v>Swetha Jakka/ Vijay</v>
          </cell>
          <cell r="G57" t="str">
            <v>Modi Housing Pvt Ltd.</v>
          </cell>
        </row>
        <row r="58">
          <cell r="C58">
            <v>156</v>
          </cell>
          <cell r="D58">
            <v>2040</v>
          </cell>
          <cell r="E58">
            <v>161</v>
          </cell>
          <cell r="F58" t="str">
            <v>Arun Akella</v>
          </cell>
          <cell r="G58" t="str">
            <v>Modi Housing Pvt Ltd.</v>
          </cell>
        </row>
        <row r="59">
          <cell r="C59">
            <v>157</v>
          </cell>
          <cell r="D59">
            <v>2040</v>
          </cell>
          <cell r="E59">
            <v>161</v>
          </cell>
          <cell r="F59" t="str">
            <v>Joharapuram Rafiq</v>
          </cell>
          <cell r="G59" t="str">
            <v>Modi Housing Pvt Ltd.</v>
          </cell>
        </row>
        <row r="60">
          <cell r="C60">
            <v>158</v>
          </cell>
          <cell r="D60">
            <v>2040</v>
          </cell>
          <cell r="E60">
            <v>161</v>
          </cell>
          <cell r="F60" t="str">
            <v>B. Chandrakala / Lenin Kumar</v>
          </cell>
          <cell r="G60" t="str">
            <v>Modi Housing Pvt Ltd.</v>
          </cell>
        </row>
        <row r="61">
          <cell r="C61">
            <v>159</v>
          </cell>
          <cell r="D61">
            <v>2040</v>
          </cell>
          <cell r="E61">
            <v>161</v>
          </cell>
          <cell r="F61" t="str">
            <v>laxman Noonsavath</v>
          </cell>
          <cell r="G61" t="str">
            <v>Modi Housing Pvt Ltd.</v>
          </cell>
        </row>
        <row r="62">
          <cell r="C62">
            <v>160</v>
          </cell>
          <cell r="D62">
            <v>2040</v>
          </cell>
          <cell r="E62">
            <v>161</v>
          </cell>
          <cell r="F62" t="str">
            <v>Srinivasa Rao</v>
          </cell>
          <cell r="G62" t="str">
            <v>Modi Housing Pvt Ltd.</v>
          </cell>
        </row>
        <row r="63">
          <cell r="C63">
            <v>161</v>
          </cell>
          <cell r="D63">
            <v>2040</v>
          </cell>
          <cell r="E63">
            <v>161</v>
          </cell>
        </row>
        <row r="63">
          <cell r="G63" t="str">
            <v>Modi Housing Pvt Ltd.</v>
          </cell>
        </row>
        <row r="64">
          <cell r="C64">
            <v>162</v>
          </cell>
          <cell r="D64">
            <v>2040</v>
          </cell>
          <cell r="E64">
            <v>161</v>
          </cell>
          <cell r="F64" t="str">
            <v>Kodukula Srinivasa Rao / Sudharshan</v>
          </cell>
          <cell r="G64" t="str">
            <v>Modi Housing Pvt Ltd.</v>
          </cell>
        </row>
        <row r="65">
          <cell r="C65">
            <v>163</v>
          </cell>
          <cell r="D65">
            <v>2040</v>
          </cell>
          <cell r="E65">
            <v>161</v>
          </cell>
        </row>
        <row r="65">
          <cell r="G65" t="str">
            <v>Modi Housing Pvt Ltd.</v>
          </cell>
        </row>
        <row r="66">
          <cell r="C66">
            <v>164</v>
          </cell>
          <cell r="D66">
            <v>2040</v>
          </cell>
          <cell r="E66">
            <v>161</v>
          </cell>
        </row>
        <row r="66">
          <cell r="G66" t="str">
            <v>Modi Housing Pvt Ltd.</v>
          </cell>
        </row>
        <row r="67">
          <cell r="C67">
            <v>165</v>
          </cell>
          <cell r="D67">
            <v>2040</v>
          </cell>
          <cell r="E67">
            <v>161</v>
          </cell>
          <cell r="F67" t="str">
            <v>Karna s Mehta</v>
          </cell>
          <cell r="G67" t="str">
            <v>Modi Housing Pvt Ltd.</v>
          </cell>
        </row>
        <row r="68">
          <cell r="C68">
            <v>166</v>
          </cell>
          <cell r="D68">
            <v>2040</v>
          </cell>
          <cell r="E68">
            <v>161</v>
          </cell>
        </row>
        <row r="68">
          <cell r="G68" t="str">
            <v>Modi Housing Pvt Ltd.</v>
          </cell>
        </row>
        <row r="69">
          <cell r="C69">
            <v>167</v>
          </cell>
          <cell r="D69">
            <v>2040</v>
          </cell>
          <cell r="E69">
            <v>161</v>
          </cell>
        </row>
        <row r="69">
          <cell r="G69" t="str">
            <v>Modi Housing Pvt Ltd.</v>
          </cell>
        </row>
        <row r="70">
          <cell r="C70">
            <v>168</v>
          </cell>
          <cell r="D70">
            <v>2040</v>
          </cell>
          <cell r="E70">
            <v>161</v>
          </cell>
        </row>
        <row r="70">
          <cell r="G70" t="str">
            <v>Modi Housing Pvt Ltd.</v>
          </cell>
        </row>
        <row r="71">
          <cell r="C71">
            <v>169</v>
          </cell>
          <cell r="D71">
            <v>2040</v>
          </cell>
          <cell r="E71">
            <v>161</v>
          </cell>
        </row>
        <row r="71">
          <cell r="G71" t="str">
            <v>Modi Housing Pvt Ltd.</v>
          </cell>
        </row>
        <row r="72">
          <cell r="C72">
            <v>170</v>
          </cell>
          <cell r="D72">
            <v>2040</v>
          </cell>
          <cell r="E72">
            <v>161</v>
          </cell>
        </row>
        <row r="72">
          <cell r="G72" t="str">
            <v>Modi Housing Pvt Ltd.</v>
          </cell>
        </row>
        <row r="73">
          <cell r="C73">
            <v>171</v>
          </cell>
          <cell r="D73">
            <v>2040</v>
          </cell>
          <cell r="E73">
            <v>161</v>
          </cell>
        </row>
        <row r="73">
          <cell r="G73" t="str">
            <v>Modi Housing Pvt Ltd.</v>
          </cell>
        </row>
        <row r="74">
          <cell r="C74">
            <v>172</v>
          </cell>
          <cell r="D74">
            <v>2040</v>
          </cell>
          <cell r="E74">
            <v>195</v>
          </cell>
        </row>
        <row r="74">
          <cell r="G74" t="str">
            <v>Modi Housing Pvt Ltd.</v>
          </cell>
        </row>
        <row r="75">
          <cell r="C75">
            <v>173</v>
          </cell>
          <cell r="D75">
            <v>2040</v>
          </cell>
          <cell r="E75">
            <v>206</v>
          </cell>
        </row>
        <row r="75">
          <cell r="G75" t="str">
            <v>Modi Housing Pvt Ltd.</v>
          </cell>
        </row>
        <row r="76">
          <cell r="C76">
            <v>174</v>
          </cell>
          <cell r="D76">
            <v>2040</v>
          </cell>
          <cell r="E76">
            <v>161</v>
          </cell>
          <cell r="F76" t="str">
            <v>Sunder Rao</v>
          </cell>
          <cell r="G76" t="str">
            <v>Modi Housing Pvt Ltd.</v>
          </cell>
        </row>
        <row r="77">
          <cell r="C77">
            <v>175</v>
          </cell>
          <cell r="D77">
            <v>2040</v>
          </cell>
          <cell r="E77">
            <v>161</v>
          </cell>
        </row>
        <row r="77">
          <cell r="G77" t="str">
            <v>Modi Housing Pvt Ltd.</v>
          </cell>
        </row>
        <row r="78">
          <cell r="C78">
            <v>176</v>
          </cell>
          <cell r="D78">
            <v>2040</v>
          </cell>
          <cell r="E78">
            <v>161</v>
          </cell>
        </row>
        <row r="78">
          <cell r="G78" t="str">
            <v>Modi Housing Pvt Ltd.</v>
          </cell>
        </row>
        <row r="79">
          <cell r="C79">
            <v>177</v>
          </cell>
          <cell r="D79">
            <v>2040</v>
          </cell>
          <cell r="E79">
            <v>161</v>
          </cell>
        </row>
        <row r="79">
          <cell r="G79" t="str">
            <v>Modi Housing Pvt Ltd.</v>
          </cell>
        </row>
        <row r="80">
          <cell r="C80">
            <v>178</v>
          </cell>
          <cell r="D80">
            <v>2040</v>
          </cell>
          <cell r="E80">
            <v>161</v>
          </cell>
        </row>
        <row r="80">
          <cell r="G80" t="str">
            <v>Modi Housing Pvt Ltd.</v>
          </cell>
        </row>
        <row r="81">
          <cell r="C81">
            <v>179</v>
          </cell>
          <cell r="D81">
            <v>2040</v>
          </cell>
          <cell r="E81">
            <v>161</v>
          </cell>
          <cell r="F81" t="str">
            <v>Surya Prasad Rao</v>
          </cell>
          <cell r="G81" t="str">
            <v>Modi Housing Pvt Ltd.</v>
          </cell>
        </row>
        <row r="82">
          <cell r="C82">
            <v>180</v>
          </cell>
          <cell r="D82">
            <v>2040</v>
          </cell>
          <cell r="E82">
            <v>161</v>
          </cell>
          <cell r="F82" t="str">
            <v>Rajiv Das</v>
          </cell>
          <cell r="G82" t="str">
            <v>Modi Housing Pvt Ltd.</v>
          </cell>
        </row>
        <row r="83">
          <cell r="C83">
            <v>181</v>
          </cell>
          <cell r="D83">
            <v>2040</v>
          </cell>
          <cell r="E83">
            <v>161</v>
          </cell>
          <cell r="F83" t="str">
            <v>Phanindranath .R</v>
          </cell>
          <cell r="G83" t="str">
            <v>Modi Housing Pvt Ltd.</v>
          </cell>
        </row>
        <row r="84">
          <cell r="C84">
            <v>182</v>
          </cell>
          <cell r="D84">
            <v>2040</v>
          </cell>
          <cell r="E84">
            <v>161</v>
          </cell>
          <cell r="F84" t="str">
            <v>Sesha giri</v>
          </cell>
          <cell r="G84" t="str">
            <v>Modi Housing Pvt Ltd.</v>
          </cell>
        </row>
        <row r="85">
          <cell r="C85">
            <v>183</v>
          </cell>
          <cell r="D85">
            <v>2040</v>
          </cell>
          <cell r="E85">
            <v>161</v>
          </cell>
          <cell r="F85" t="str">
            <v>Prasad Dasari</v>
          </cell>
          <cell r="G85" t="str">
            <v>Modi Housing Pvt Ltd.</v>
          </cell>
        </row>
        <row r="86">
          <cell r="C86">
            <v>184</v>
          </cell>
          <cell r="D86">
            <v>2040</v>
          </cell>
          <cell r="E86">
            <v>161</v>
          </cell>
        </row>
        <row r="86">
          <cell r="G86" t="str">
            <v>Modi Housing Pvt Ltd.</v>
          </cell>
        </row>
        <row r="87">
          <cell r="C87">
            <v>185</v>
          </cell>
          <cell r="D87">
            <v>2040</v>
          </cell>
          <cell r="E87">
            <v>161</v>
          </cell>
          <cell r="F87" t="str">
            <v>Udigiri Charan Kumar</v>
          </cell>
          <cell r="G87" t="str">
            <v>Modi Housing Pvt Ltd.</v>
          </cell>
        </row>
        <row r="88">
          <cell r="C88">
            <v>186</v>
          </cell>
          <cell r="D88">
            <v>2040</v>
          </cell>
          <cell r="E88">
            <v>161</v>
          </cell>
        </row>
        <row r="88">
          <cell r="G88" t="str">
            <v>Modi Housing Pvt Ltd.</v>
          </cell>
        </row>
        <row r="89">
          <cell r="C89">
            <v>187</v>
          </cell>
          <cell r="D89">
            <v>2040</v>
          </cell>
          <cell r="E89">
            <v>161</v>
          </cell>
        </row>
        <row r="89">
          <cell r="G89" t="str">
            <v>Modi Housing Pvt Ltd.</v>
          </cell>
        </row>
        <row r="90">
          <cell r="C90">
            <v>188</v>
          </cell>
          <cell r="D90">
            <v>2040</v>
          </cell>
          <cell r="E90">
            <v>161</v>
          </cell>
        </row>
        <row r="90">
          <cell r="G90" t="str">
            <v>Modi Housing Pvt Ltd.</v>
          </cell>
        </row>
        <row r="91">
          <cell r="C91">
            <v>189</v>
          </cell>
          <cell r="D91">
            <v>2040</v>
          </cell>
          <cell r="E91">
            <v>161</v>
          </cell>
        </row>
        <row r="91">
          <cell r="G91" t="str">
            <v>Modi Housing Pvt Ltd.</v>
          </cell>
        </row>
        <row r="92">
          <cell r="C92">
            <v>190</v>
          </cell>
          <cell r="D92">
            <v>2040</v>
          </cell>
          <cell r="E92">
            <v>161</v>
          </cell>
        </row>
        <row r="92">
          <cell r="G92" t="str">
            <v>Modi Housing Pvt Ltd.</v>
          </cell>
        </row>
        <row r="93">
          <cell r="C93">
            <v>191</v>
          </cell>
          <cell r="D93">
            <v>2040</v>
          </cell>
          <cell r="E93">
            <v>161</v>
          </cell>
        </row>
        <row r="93">
          <cell r="G93" t="str">
            <v>Modi Housing Pvt Ltd.</v>
          </cell>
        </row>
        <row r="94">
          <cell r="C94">
            <v>192</v>
          </cell>
          <cell r="D94">
            <v>2040</v>
          </cell>
          <cell r="E94">
            <v>161</v>
          </cell>
        </row>
        <row r="94">
          <cell r="G94" t="str">
            <v>Modi Housing Pvt Ltd.</v>
          </cell>
        </row>
        <row r="95">
          <cell r="C95">
            <v>193</v>
          </cell>
          <cell r="D95">
            <v>2040</v>
          </cell>
          <cell r="E95">
            <v>161</v>
          </cell>
        </row>
        <row r="95">
          <cell r="G95" t="str">
            <v>Modi Housing Pvt Ltd.</v>
          </cell>
        </row>
        <row r="96">
          <cell r="C96">
            <v>194</v>
          </cell>
          <cell r="D96">
            <v>2040</v>
          </cell>
          <cell r="E96">
            <v>161</v>
          </cell>
        </row>
        <row r="96">
          <cell r="G96" t="str">
            <v>Modi Housing Pvt Ltd.</v>
          </cell>
        </row>
        <row r="97">
          <cell r="C97">
            <v>195</v>
          </cell>
          <cell r="D97">
            <v>2040</v>
          </cell>
          <cell r="E97">
            <v>161</v>
          </cell>
        </row>
        <row r="97">
          <cell r="G97" t="str">
            <v>Modi Housing Pvt Ltd.</v>
          </cell>
        </row>
        <row r="98">
          <cell r="C98">
            <v>196</v>
          </cell>
          <cell r="D98">
            <v>2040</v>
          </cell>
          <cell r="E98">
            <v>163</v>
          </cell>
        </row>
        <row r="98">
          <cell r="G98" t="str">
            <v>Modi Housing Pvt Ltd.</v>
          </cell>
        </row>
        <row r="99">
          <cell r="C99">
            <v>197</v>
          </cell>
          <cell r="D99">
            <v>2040</v>
          </cell>
          <cell r="E99">
            <v>174</v>
          </cell>
        </row>
        <row r="99">
          <cell r="G99" t="str">
            <v>Modi Housing Pvt Ltd.</v>
          </cell>
        </row>
        <row r="100">
          <cell r="C100">
            <v>198</v>
          </cell>
          <cell r="D100">
            <v>2040</v>
          </cell>
          <cell r="E100">
            <v>170</v>
          </cell>
        </row>
        <row r="100">
          <cell r="G100" t="str">
            <v>Modi Housing Pvt Ltd.</v>
          </cell>
        </row>
        <row r="101">
          <cell r="C101">
            <v>199</v>
          </cell>
          <cell r="D101">
            <v>2040</v>
          </cell>
          <cell r="E101">
            <v>180</v>
          </cell>
        </row>
        <row r="101">
          <cell r="G101" t="str">
            <v>Modi Housing Pvt Ltd.</v>
          </cell>
        </row>
        <row r="102">
          <cell r="C102">
            <v>200</v>
          </cell>
          <cell r="D102">
            <v>2040</v>
          </cell>
          <cell r="E102">
            <v>161</v>
          </cell>
        </row>
        <row r="102">
          <cell r="G102" t="str">
            <v>Modi Housing Pvt Ltd.</v>
          </cell>
        </row>
        <row r="103">
          <cell r="C103">
            <v>201</v>
          </cell>
          <cell r="D103">
            <v>2040</v>
          </cell>
          <cell r="E103">
            <v>161</v>
          </cell>
        </row>
        <row r="103">
          <cell r="G103" t="str">
            <v>Modi Housing Pvt Ltd.</v>
          </cell>
        </row>
        <row r="104">
          <cell r="C104">
            <v>202</v>
          </cell>
          <cell r="D104">
            <v>2040</v>
          </cell>
          <cell r="E104">
            <v>161</v>
          </cell>
        </row>
        <row r="104">
          <cell r="G104" t="str">
            <v>Modi Housing Pvt Ltd.</v>
          </cell>
        </row>
        <row r="105">
          <cell r="C105">
            <v>203</v>
          </cell>
          <cell r="D105">
            <v>2040</v>
          </cell>
          <cell r="E105">
            <v>161</v>
          </cell>
        </row>
        <row r="105">
          <cell r="G105" t="str">
            <v>Modi Housing Pvt Ltd.</v>
          </cell>
        </row>
        <row r="106">
          <cell r="C106">
            <v>204</v>
          </cell>
          <cell r="D106">
            <v>2040</v>
          </cell>
          <cell r="E106">
            <v>161</v>
          </cell>
        </row>
        <row r="106">
          <cell r="G106" t="str">
            <v>Modi Housing Pvt Ltd.</v>
          </cell>
        </row>
        <row r="107">
          <cell r="C107">
            <v>205</v>
          </cell>
          <cell r="D107">
            <v>2040</v>
          </cell>
          <cell r="E107">
            <v>161</v>
          </cell>
        </row>
        <row r="107">
          <cell r="G107" t="str">
            <v>Modi Housing Pvt Ltd.</v>
          </cell>
        </row>
        <row r="108">
          <cell r="C108">
            <v>206</v>
          </cell>
          <cell r="D108">
            <v>2040</v>
          </cell>
          <cell r="E108">
            <v>161</v>
          </cell>
        </row>
        <row r="108">
          <cell r="G108" t="str">
            <v>Modi Housing Pvt Ltd.</v>
          </cell>
        </row>
        <row r="109">
          <cell r="C109">
            <v>207</v>
          </cell>
          <cell r="D109">
            <v>2040</v>
          </cell>
          <cell r="E109">
            <v>218</v>
          </cell>
        </row>
        <row r="109">
          <cell r="G109" t="str">
            <v>Modi Housing Pvt Ltd.</v>
          </cell>
        </row>
        <row r="110">
          <cell r="C110">
            <v>208</v>
          </cell>
          <cell r="D110">
            <v>2040</v>
          </cell>
          <cell r="E110">
            <v>195</v>
          </cell>
          <cell r="F110" t="str">
            <v>Mortagage</v>
          </cell>
          <cell r="G110" t="str">
            <v>Modi Housing Pvt Ltd.</v>
          </cell>
        </row>
        <row r="111">
          <cell r="C111">
            <v>209</v>
          </cell>
          <cell r="D111">
            <v>2040</v>
          </cell>
          <cell r="E111">
            <v>181</v>
          </cell>
          <cell r="F111" t="str">
            <v>Mortagage</v>
          </cell>
          <cell r="G111" t="str">
            <v>Modi Housing Pvt Ltd.</v>
          </cell>
        </row>
        <row r="112">
          <cell r="C112">
            <v>210</v>
          </cell>
          <cell r="D112">
            <v>2040</v>
          </cell>
          <cell r="E112">
            <v>177</v>
          </cell>
          <cell r="F112" t="str">
            <v>Mortagage</v>
          </cell>
          <cell r="G112" t="str">
            <v>Modi Housing Pvt Ltd.</v>
          </cell>
        </row>
        <row r="113">
          <cell r="C113">
            <v>211</v>
          </cell>
          <cell r="D113">
            <v>2040</v>
          </cell>
          <cell r="E113">
            <v>176</v>
          </cell>
          <cell r="F113" t="str">
            <v>Mortagage</v>
          </cell>
          <cell r="G113" t="str">
            <v>Modi Housing Pvt Ltd.</v>
          </cell>
        </row>
        <row r="114">
          <cell r="C114">
            <v>212</v>
          </cell>
          <cell r="D114">
            <v>2040</v>
          </cell>
          <cell r="E114">
            <v>184</v>
          </cell>
          <cell r="F114" t="str">
            <v>Mortagage</v>
          </cell>
          <cell r="G114" t="str">
            <v>Modi Housing Pvt Ltd.</v>
          </cell>
        </row>
        <row r="115">
          <cell r="C115">
            <v>213</v>
          </cell>
          <cell r="D115">
            <v>2040</v>
          </cell>
          <cell r="E115">
            <v>214</v>
          </cell>
          <cell r="F115" t="str">
            <v>Mortagage</v>
          </cell>
          <cell r="G115" t="str">
            <v>Modi Housing Pvt Ltd.</v>
          </cell>
        </row>
        <row r="116">
          <cell r="C116">
            <v>214</v>
          </cell>
          <cell r="D116">
            <v>2040</v>
          </cell>
          <cell r="E116">
            <v>212</v>
          </cell>
        </row>
        <row r="116">
          <cell r="G116" t="str">
            <v>Modi Housing Pvt Ltd.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5"/>
  <sheetViews>
    <sheetView zoomScaleSheetLayoutView="70" workbookViewId="0">
      <pane xSplit="3" ySplit="5" topLeftCell="D78" activePane="bottomRight" state="frozen"/>
      <selection/>
      <selection pane="topRight"/>
      <selection pane="bottomLeft"/>
      <selection pane="bottomRight" activeCell="D89" sqref="D89"/>
    </sheetView>
  </sheetViews>
  <sheetFormatPr defaultColWidth="9" defaultRowHeight="12.75"/>
  <cols>
    <col min="1" max="1" width="4.85714285714286" style="3" customWidth="1"/>
    <col min="2" max="2" width="5.57142857142857" style="3" customWidth="1"/>
    <col min="3" max="3" width="18.4285714285714" style="3" customWidth="1"/>
    <col min="4" max="4" width="12.7142857142857" style="16" customWidth="1"/>
    <col min="5" max="5" width="12.4285714285714" style="3" customWidth="1"/>
    <col min="6" max="6" width="11.4285714285714" style="3" customWidth="1"/>
    <col min="7" max="8" width="11.1428571428571" style="3" customWidth="1"/>
    <col min="9" max="9" width="8.71428571428571" style="3" customWidth="1"/>
    <col min="10" max="10" width="12.1428571428571" style="46" customWidth="1"/>
    <col min="11" max="11" width="8.42857142857143" style="3" customWidth="1"/>
    <col min="12" max="12" width="10.1428571428571" style="40" customWidth="1"/>
    <col min="13" max="13" width="9.28571428571429" style="3" hidden="1" customWidth="1"/>
    <col min="14" max="14" width="10.1428571428571" style="40" hidden="1" customWidth="1"/>
    <col min="15" max="15" width="7.28571428571429" style="3" hidden="1" customWidth="1"/>
    <col min="16" max="16" width="7.14285714285714" style="8" hidden="1" customWidth="1"/>
    <col min="17" max="17" width="10.5714285714286" style="3" hidden="1" customWidth="1"/>
    <col min="18" max="18" width="8.71428571428571" style="9" hidden="1" customWidth="1"/>
    <col min="19" max="19" width="11.4285714285714" style="46" customWidth="1"/>
    <col min="20" max="20" width="10.5714285714286" style="46" customWidth="1"/>
    <col min="21" max="21" width="11" style="46" customWidth="1"/>
    <col min="22" max="23" width="9.71428571428571" style="46" customWidth="1"/>
    <col min="24" max="16384" width="9" style="3"/>
  </cols>
  <sheetData>
    <row r="1" spans="1:23">
      <c r="A1" s="51" t="s">
        <v>0</v>
      </c>
      <c r="B1" s="52"/>
      <c r="C1" s="52"/>
      <c r="D1" s="53"/>
      <c r="E1" s="52"/>
      <c r="F1" s="52"/>
      <c r="G1" s="52"/>
      <c r="H1" s="52"/>
      <c r="I1" s="52"/>
      <c r="J1" s="62"/>
      <c r="K1" s="52"/>
      <c r="L1" s="63"/>
      <c r="M1" s="52"/>
      <c r="N1" s="64"/>
      <c r="S1" s="74"/>
      <c r="T1" s="62"/>
      <c r="U1" s="62"/>
      <c r="V1" s="62"/>
      <c r="W1" s="75"/>
    </row>
    <row r="2" spans="1:23">
      <c r="A2" s="54" t="s">
        <v>1</v>
      </c>
      <c r="N2" s="65"/>
      <c r="S2" s="76"/>
      <c r="W2" s="77"/>
    </row>
    <row r="3" spans="1:23">
      <c r="A3" s="54" t="s">
        <v>2</v>
      </c>
      <c r="N3" s="65"/>
      <c r="S3" s="76"/>
      <c r="W3" s="77"/>
    </row>
    <row r="4" spans="1:23">
      <c r="A4" s="54"/>
      <c r="N4" s="65"/>
      <c r="S4" s="76"/>
      <c r="W4" s="77"/>
    </row>
    <row r="5" s="21" customFormat="1" ht="51" spans="1:23">
      <c r="A5" s="55" t="s">
        <v>3</v>
      </c>
      <c r="B5" s="55" t="s">
        <v>4</v>
      </c>
      <c r="C5" s="56" t="s">
        <v>5</v>
      </c>
      <c r="D5" s="56" t="s">
        <v>6</v>
      </c>
      <c r="E5" s="55" t="s">
        <v>7</v>
      </c>
      <c r="F5" s="55" t="s">
        <v>8</v>
      </c>
      <c r="G5" s="55" t="s">
        <v>9</v>
      </c>
      <c r="H5" s="57" t="s">
        <v>10</v>
      </c>
      <c r="I5" s="55" t="s">
        <v>11</v>
      </c>
      <c r="J5" s="56" t="s">
        <v>12</v>
      </c>
      <c r="K5" s="55" t="s">
        <v>13</v>
      </c>
      <c r="L5" s="66" t="s">
        <v>12</v>
      </c>
      <c r="M5" s="55" t="s">
        <v>14</v>
      </c>
      <c r="N5" s="66" t="s">
        <v>12</v>
      </c>
      <c r="O5" s="24" t="s">
        <v>15</v>
      </c>
      <c r="P5" s="25" t="s">
        <v>12</v>
      </c>
      <c r="Q5" s="24" t="s">
        <v>16</v>
      </c>
      <c r="R5" s="44" t="s">
        <v>12</v>
      </c>
      <c r="S5" s="56" t="s">
        <v>17</v>
      </c>
      <c r="T5" s="56" t="s">
        <v>18</v>
      </c>
      <c r="U5" s="56" t="s">
        <v>19</v>
      </c>
      <c r="V5" s="56" t="s">
        <v>20</v>
      </c>
      <c r="W5" s="56" t="s">
        <v>21</v>
      </c>
    </row>
    <row r="6" spans="1:23">
      <c r="A6" s="58">
        <v>1</v>
      </c>
      <c r="B6" s="59">
        <v>101</v>
      </c>
      <c r="C6" s="59" t="str">
        <f>VLOOKUP(B6,'[1]list-flat-report_SOVIII.2021-Ju'!$C$3:$G$116,5,0)</f>
        <v>Mr. Deepak U. Mehta</v>
      </c>
      <c r="D6" s="60">
        <v>8420000</v>
      </c>
      <c r="E6" s="60">
        <f>D6*40%</f>
        <v>3368000</v>
      </c>
      <c r="F6" s="60">
        <v>200000</v>
      </c>
      <c r="G6" s="61">
        <f>E6-F6</f>
        <v>3168000</v>
      </c>
      <c r="H6" s="60">
        <f>G6/4</f>
        <v>792000</v>
      </c>
      <c r="I6" s="67">
        <v>44227</v>
      </c>
      <c r="J6" s="68">
        <v>792000</v>
      </c>
      <c r="K6" s="30">
        <v>44287</v>
      </c>
      <c r="L6" s="27">
        <f t="shared" ref="L6:L9" si="0">H6</f>
        <v>792000</v>
      </c>
      <c r="M6" s="60"/>
      <c r="N6" s="60"/>
      <c r="O6" s="16"/>
      <c r="P6" s="16"/>
      <c r="Q6" s="16"/>
      <c r="R6" s="16"/>
      <c r="S6" s="60">
        <f t="shared" ref="S6:S17" si="1">J6+L6+N6+P6+R6</f>
        <v>1584000</v>
      </c>
      <c r="T6" s="60">
        <f>792000+792000</f>
        <v>1584000</v>
      </c>
      <c r="U6" s="60">
        <f>+S6-T6</f>
        <v>0</v>
      </c>
      <c r="V6" s="60">
        <f t="shared" ref="V6" si="2">U6*9%</f>
        <v>0</v>
      </c>
      <c r="W6" s="60">
        <f t="shared" ref="W6" si="3">U6*9%</f>
        <v>0</v>
      </c>
    </row>
    <row r="7" spans="1:23">
      <c r="A7" s="58">
        <f t="shared" ref="A7:A70" si="4">+A6+1</f>
        <v>2</v>
      </c>
      <c r="B7" s="59">
        <v>102</v>
      </c>
      <c r="C7" s="59" t="str">
        <f>VLOOKUP(B7,'[1]list-flat-report_SOVIII.2021-Ju'!$C$3:$G$116,5,0)</f>
        <v>Modi Housing Pvt Ltd.</v>
      </c>
      <c r="D7" s="60">
        <v>8300000</v>
      </c>
      <c r="E7" s="60">
        <f t="shared" ref="E7:E18" si="5">D7*40%</f>
        <v>3320000</v>
      </c>
      <c r="F7" s="60">
        <v>200000</v>
      </c>
      <c r="G7" s="61">
        <f t="shared" ref="G7:G18" si="6">E7-F7</f>
        <v>3120000</v>
      </c>
      <c r="H7" s="60">
        <f t="shared" ref="H7:H18" si="7">G7/4</f>
        <v>780000</v>
      </c>
      <c r="I7" s="67">
        <v>44227</v>
      </c>
      <c r="J7" s="68">
        <v>780000</v>
      </c>
      <c r="K7" s="30">
        <v>44287</v>
      </c>
      <c r="L7" s="27">
        <f t="shared" si="0"/>
        <v>780000</v>
      </c>
      <c r="M7" s="60"/>
      <c r="N7" s="60"/>
      <c r="O7" s="16"/>
      <c r="P7" s="16"/>
      <c r="Q7" s="16"/>
      <c r="R7" s="16"/>
      <c r="S7" s="60">
        <f t="shared" si="1"/>
        <v>1560000</v>
      </c>
      <c r="T7" s="60">
        <f>780000+780000</f>
        <v>1560000</v>
      </c>
      <c r="U7" s="60">
        <f t="shared" ref="U7:U17" si="8">+S7-T7</f>
        <v>0</v>
      </c>
      <c r="V7" s="60">
        <f t="shared" ref="V7:V17" si="9">U7*9%</f>
        <v>0</v>
      </c>
      <c r="W7" s="60">
        <f t="shared" ref="W7:W17" si="10">U7*9%</f>
        <v>0</v>
      </c>
    </row>
    <row r="8" spans="1:23">
      <c r="A8" s="58">
        <f t="shared" si="4"/>
        <v>3</v>
      </c>
      <c r="B8" s="59">
        <v>103</v>
      </c>
      <c r="C8" s="59" t="str">
        <f>VLOOKUP(B8,'[1]list-flat-report_SOVIII.2021-Ju'!$C$3:$G$116,5,0)</f>
        <v>Mr. Deepak U. Mehta</v>
      </c>
      <c r="D8" s="60">
        <v>8300000</v>
      </c>
      <c r="E8" s="60">
        <f t="shared" si="5"/>
        <v>3320000</v>
      </c>
      <c r="F8" s="60">
        <v>200000</v>
      </c>
      <c r="G8" s="61">
        <f t="shared" si="6"/>
        <v>3120000</v>
      </c>
      <c r="H8" s="60">
        <f t="shared" si="7"/>
        <v>780000</v>
      </c>
      <c r="I8" s="67">
        <v>44227</v>
      </c>
      <c r="J8" s="68">
        <v>780000</v>
      </c>
      <c r="K8" s="30">
        <v>44407</v>
      </c>
      <c r="L8" s="27">
        <f>J8</f>
        <v>780000</v>
      </c>
      <c r="M8" s="60"/>
      <c r="N8" s="60"/>
      <c r="O8" s="16"/>
      <c r="P8" s="16"/>
      <c r="Q8" s="16"/>
      <c r="R8" s="16"/>
      <c r="S8" s="60">
        <f t="shared" si="1"/>
        <v>1560000</v>
      </c>
      <c r="T8" s="60">
        <f>780000+780000</f>
        <v>1560000</v>
      </c>
      <c r="U8" s="60">
        <f t="shared" si="8"/>
        <v>0</v>
      </c>
      <c r="V8" s="60">
        <f t="shared" si="9"/>
        <v>0</v>
      </c>
      <c r="W8" s="60">
        <f t="shared" si="10"/>
        <v>0</v>
      </c>
    </row>
    <row r="9" spans="1:23">
      <c r="A9" s="58">
        <f t="shared" si="4"/>
        <v>4</v>
      </c>
      <c r="B9" s="59">
        <v>104</v>
      </c>
      <c r="C9" s="59" t="str">
        <f>VLOOKUP(B9,'[1]list-flat-report_SOVIII.2021-Ju'!$C$3:$G$116,5,0)</f>
        <v>Modi Housing Pvt Ltd.</v>
      </c>
      <c r="D9" s="60">
        <v>8300000</v>
      </c>
      <c r="E9" s="60">
        <f t="shared" si="5"/>
        <v>3320000</v>
      </c>
      <c r="F9" s="60">
        <v>200000</v>
      </c>
      <c r="G9" s="61">
        <f t="shared" si="6"/>
        <v>3120000</v>
      </c>
      <c r="H9" s="60">
        <f t="shared" si="7"/>
        <v>780000</v>
      </c>
      <c r="I9" s="67">
        <v>44227</v>
      </c>
      <c r="J9" s="68">
        <v>780000</v>
      </c>
      <c r="K9" s="30">
        <v>44321</v>
      </c>
      <c r="L9" s="27">
        <f t="shared" si="0"/>
        <v>780000</v>
      </c>
      <c r="M9" s="60"/>
      <c r="N9" s="60"/>
      <c r="O9" s="16"/>
      <c r="P9" s="16"/>
      <c r="Q9" s="16"/>
      <c r="R9" s="16"/>
      <c r="S9" s="60">
        <f t="shared" si="1"/>
        <v>1560000</v>
      </c>
      <c r="T9" s="60">
        <f>780000+780000</f>
        <v>1560000</v>
      </c>
      <c r="U9" s="60">
        <f t="shared" si="8"/>
        <v>0</v>
      </c>
      <c r="V9" s="60">
        <f t="shared" si="9"/>
        <v>0</v>
      </c>
      <c r="W9" s="60">
        <f t="shared" si="10"/>
        <v>0</v>
      </c>
    </row>
    <row r="10" spans="1:23">
      <c r="A10" s="58">
        <f t="shared" si="4"/>
        <v>5</v>
      </c>
      <c r="B10" s="59">
        <v>105</v>
      </c>
      <c r="C10" s="59" t="str">
        <f>VLOOKUP(B10,'[1]list-flat-report_SOVIII.2021-Ju'!$C$3:$G$116,5,0)</f>
        <v>Mr. Deepak U. Mehta</v>
      </c>
      <c r="D10" s="60">
        <v>7100000</v>
      </c>
      <c r="E10" s="60">
        <f t="shared" si="5"/>
        <v>2840000</v>
      </c>
      <c r="F10" s="60">
        <v>200000</v>
      </c>
      <c r="G10" s="61">
        <f t="shared" si="6"/>
        <v>2640000</v>
      </c>
      <c r="H10" s="60">
        <f t="shared" si="7"/>
        <v>660000</v>
      </c>
      <c r="I10" s="67">
        <v>44227</v>
      </c>
      <c r="J10" s="68">
        <v>810000</v>
      </c>
      <c r="K10" s="30">
        <v>44393</v>
      </c>
      <c r="L10" s="27">
        <f>J10</f>
        <v>810000</v>
      </c>
      <c r="M10" s="60"/>
      <c r="N10" s="60"/>
      <c r="O10" s="16"/>
      <c r="P10" s="16"/>
      <c r="Q10" s="16"/>
      <c r="R10" s="16"/>
      <c r="S10" s="60">
        <f t="shared" si="1"/>
        <v>1620000</v>
      </c>
      <c r="T10" s="60">
        <f>810000+810000</f>
        <v>1620000</v>
      </c>
      <c r="U10" s="60">
        <f t="shared" si="8"/>
        <v>0</v>
      </c>
      <c r="V10" s="60">
        <f t="shared" si="9"/>
        <v>0</v>
      </c>
      <c r="W10" s="60">
        <f t="shared" si="10"/>
        <v>0</v>
      </c>
    </row>
    <row r="11" spans="1:23">
      <c r="A11" s="58">
        <f t="shared" si="4"/>
        <v>6</v>
      </c>
      <c r="B11" s="59">
        <v>106</v>
      </c>
      <c r="C11" s="59" t="str">
        <f>VLOOKUP(B11,'[1]list-flat-report_SOVIII.2021-Ju'!$C$3:$G$116,5,0)</f>
        <v>Modi Housing Pvt Ltd.</v>
      </c>
      <c r="D11" s="60">
        <v>8400000</v>
      </c>
      <c r="E11" s="60">
        <f t="shared" si="5"/>
        <v>3360000</v>
      </c>
      <c r="F11" s="60">
        <v>200000</v>
      </c>
      <c r="G11" s="61">
        <f t="shared" si="6"/>
        <v>3160000</v>
      </c>
      <c r="H11" s="60">
        <f t="shared" si="7"/>
        <v>790000</v>
      </c>
      <c r="I11" s="67">
        <v>44286</v>
      </c>
      <c r="J11" s="69">
        <f t="shared" ref="J11:J15" si="11">H11</f>
        <v>790000</v>
      </c>
      <c r="K11" s="30"/>
      <c r="L11" s="27"/>
      <c r="M11" s="60"/>
      <c r="N11" s="60"/>
      <c r="O11" s="16"/>
      <c r="P11" s="16"/>
      <c r="Q11" s="16"/>
      <c r="R11" s="16"/>
      <c r="S11" s="60">
        <f t="shared" si="1"/>
        <v>790000</v>
      </c>
      <c r="T11" s="60">
        <v>790000</v>
      </c>
      <c r="U11" s="60">
        <f t="shared" si="8"/>
        <v>0</v>
      </c>
      <c r="V11" s="60">
        <f t="shared" si="9"/>
        <v>0</v>
      </c>
      <c r="W11" s="60">
        <f t="shared" si="10"/>
        <v>0</v>
      </c>
    </row>
    <row r="12" spans="1:23">
      <c r="A12" s="58">
        <f t="shared" si="4"/>
        <v>7</v>
      </c>
      <c r="B12" s="59">
        <v>107</v>
      </c>
      <c r="C12" s="59" t="str">
        <f>VLOOKUP(B12,'[1]list-flat-report_SOVIII.2021-Ju'!$C$3:$G$116,5,0)</f>
        <v>Mrs. Harsha D. Mehta</v>
      </c>
      <c r="D12" s="60">
        <v>7800000</v>
      </c>
      <c r="E12" s="60">
        <f t="shared" si="5"/>
        <v>3120000</v>
      </c>
      <c r="F12" s="60">
        <v>200000</v>
      </c>
      <c r="G12" s="61">
        <f t="shared" si="6"/>
        <v>2920000</v>
      </c>
      <c r="H12" s="60">
        <f t="shared" si="7"/>
        <v>730000</v>
      </c>
      <c r="I12" s="67">
        <v>44286</v>
      </c>
      <c r="J12" s="69">
        <f t="shared" si="11"/>
        <v>730000</v>
      </c>
      <c r="K12" s="30"/>
      <c r="L12" s="27"/>
      <c r="M12" s="60"/>
      <c r="N12" s="60"/>
      <c r="O12" s="16"/>
      <c r="P12" s="16"/>
      <c r="Q12" s="16"/>
      <c r="R12" s="16"/>
      <c r="S12" s="60">
        <f t="shared" si="1"/>
        <v>730000</v>
      </c>
      <c r="T12" s="60">
        <v>730000</v>
      </c>
      <c r="U12" s="60">
        <f t="shared" si="8"/>
        <v>0</v>
      </c>
      <c r="V12" s="60">
        <f t="shared" si="9"/>
        <v>0</v>
      </c>
      <c r="W12" s="60">
        <f t="shared" si="10"/>
        <v>0</v>
      </c>
    </row>
    <row r="13" spans="1:23">
      <c r="A13" s="58">
        <f t="shared" si="4"/>
        <v>8</v>
      </c>
      <c r="B13" s="59">
        <v>108</v>
      </c>
      <c r="C13" s="59" t="str">
        <f>VLOOKUP(B13,'[1]list-flat-report_SOVIII.2021-Ju'!$C$3:$G$116,5,0)</f>
        <v>Modi Housing Pvt Ltd.</v>
      </c>
      <c r="D13" s="60">
        <v>9100000</v>
      </c>
      <c r="E13" s="60">
        <f t="shared" si="5"/>
        <v>3640000</v>
      </c>
      <c r="F13" s="60">
        <v>200000</v>
      </c>
      <c r="G13" s="61">
        <f t="shared" si="6"/>
        <v>3440000</v>
      </c>
      <c r="H13" s="60">
        <f t="shared" si="7"/>
        <v>860000</v>
      </c>
      <c r="I13" s="67">
        <v>44309</v>
      </c>
      <c r="J13" s="69">
        <f t="shared" si="11"/>
        <v>860000</v>
      </c>
      <c r="K13" s="30"/>
      <c r="L13" s="27"/>
      <c r="M13" s="60"/>
      <c r="N13" s="60"/>
      <c r="O13" s="16"/>
      <c r="P13" s="16"/>
      <c r="Q13" s="16"/>
      <c r="R13" s="16"/>
      <c r="S13" s="60">
        <f t="shared" si="1"/>
        <v>860000</v>
      </c>
      <c r="T13" s="60">
        <v>860000</v>
      </c>
      <c r="U13" s="60">
        <f t="shared" si="8"/>
        <v>0</v>
      </c>
      <c r="V13" s="60">
        <f t="shared" si="9"/>
        <v>0</v>
      </c>
      <c r="W13" s="60">
        <f t="shared" si="10"/>
        <v>0</v>
      </c>
    </row>
    <row r="14" spans="1:23">
      <c r="A14" s="58">
        <f t="shared" si="4"/>
        <v>9</v>
      </c>
      <c r="B14" s="59">
        <v>109</v>
      </c>
      <c r="C14" s="59" t="str">
        <f>VLOOKUP(B14,'[1]list-flat-report_SOVIII.2021-Ju'!$C$3:$G$116,5,0)</f>
        <v>Mrs. Harsha D. Mehta</v>
      </c>
      <c r="D14" s="60">
        <v>8500000</v>
      </c>
      <c r="E14" s="60">
        <f t="shared" si="5"/>
        <v>3400000</v>
      </c>
      <c r="F14" s="60">
        <v>200000</v>
      </c>
      <c r="G14" s="61">
        <f t="shared" si="6"/>
        <v>3200000</v>
      </c>
      <c r="H14" s="60">
        <f t="shared" si="7"/>
        <v>800000</v>
      </c>
      <c r="I14" s="67">
        <v>44288</v>
      </c>
      <c r="J14" s="69">
        <f t="shared" si="11"/>
        <v>800000</v>
      </c>
      <c r="K14" s="30"/>
      <c r="L14" s="27"/>
      <c r="M14" s="60"/>
      <c r="N14" s="60"/>
      <c r="O14" s="16"/>
      <c r="P14" s="16"/>
      <c r="Q14" s="16"/>
      <c r="R14" s="16"/>
      <c r="S14" s="60">
        <f t="shared" si="1"/>
        <v>800000</v>
      </c>
      <c r="T14" s="60">
        <v>800000</v>
      </c>
      <c r="U14" s="60">
        <f t="shared" si="8"/>
        <v>0</v>
      </c>
      <c r="V14" s="60">
        <f t="shared" si="9"/>
        <v>0</v>
      </c>
      <c r="W14" s="60">
        <f t="shared" si="10"/>
        <v>0</v>
      </c>
    </row>
    <row r="15" spans="1:23">
      <c r="A15" s="58">
        <f t="shared" si="4"/>
        <v>10</v>
      </c>
      <c r="B15" s="59">
        <v>110</v>
      </c>
      <c r="C15" s="59" t="str">
        <f>VLOOKUP(B15,'[1]list-flat-report_SOVIII.2021-Ju'!$C$3:$G$116,5,0)</f>
        <v>Modi Housing Pvt Ltd.</v>
      </c>
      <c r="D15" s="60">
        <v>8200000</v>
      </c>
      <c r="E15" s="60">
        <f t="shared" si="5"/>
        <v>3280000</v>
      </c>
      <c r="F15" s="60">
        <v>200000</v>
      </c>
      <c r="G15" s="61">
        <f t="shared" si="6"/>
        <v>3080000</v>
      </c>
      <c r="H15" s="60">
        <f t="shared" si="7"/>
        <v>770000</v>
      </c>
      <c r="I15" s="67">
        <v>44286</v>
      </c>
      <c r="J15" s="69">
        <f t="shared" si="11"/>
        <v>770000</v>
      </c>
      <c r="K15" s="30"/>
      <c r="L15" s="27"/>
      <c r="M15" s="60"/>
      <c r="N15" s="60"/>
      <c r="O15" s="16"/>
      <c r="P15" s="16"/>
      <c r="Q15" s="16"/>
      <c r="R15" s="16"/>
      <c r="S15" s="60">
        <f t="shared" si="1"/>
        <v>770000</v>
      </c>
      <c r="T15" s="60">
        <v>770000</v>
      </c>
      <c r="U15" s="60">
        <f t="shared" si="8"/>
        <v>0</v>
      </c>
      <c r="V15" s="60">
        <f t="shared" si="9"/>
        <v>0</v>
      </c>
      <c r="W15" s="60">
        <f t="shared" si="10"/>
        <v>0</v>
      </c>
    </row>
    <row r="16" spans="1:23">
      <c r="A16" s="58">
        <f t="shared" si="4"/>
        <v>11</v>
      </c>
      <c r="B16" s="59">
        <v>111</v>
      </c>
      <c r="C16" s="59" t="str">
        <f>VLOOKUP(B16,'[1]list-flat-report_SOVIII.2021-Ju'!$C$3:$G$116,5,0)</f>
        <v>Mrs. Harsha D. Mehta</v>
      </c>
      <c r="D16" s="60">
        <v>8800000</v>
      </c>
      <c r="E16" s="60">
        <f t="shared" si="5"/>
        <v>3520000</v>
      </c>
      <c r="F16" s="60">
        <v>200000</v>
      </c>
      <c r="G16" s="61">
        <f t="shared" si="6"/>
        <v>3320000</v>
      </c>
      <c r="H16" s="60">
        <f t="shared" si="7"/>
        <v>830000</v>
      </c>
      <c r="I16" s="67">
        <v>44227</v>
      </c>
      <c r="J16" s="68">
        <v>830000</v>
      </c>
      <c r="K16" s="30"/>
      <c r="L16" s="27"/>
      <c r="M16" s="60"/>
      <c r="N16" s="60"/>
      <c r="O16" s="16"/>
      <c r="P16" s="16"/>
      <c r="Q16" s="16"/>
      <c r="R16" s="16"/>
      <c r="S16" s="60">
        <f t="shared" si="1"/>
        <v>830000</v>
      </c>
      <c r="T16" s="60">
        <v>830000</v>
      </c>
      <c r="U16" s="60">
        <f t="shared" si="8"/>
        <v>0</v>
      </c>
      <c r="V16" s="60">
        <f t="shared" si="9"/>
        <v>0</v>
      </c>
      <c r="W16" s="60">
        <f t="shared" si="10"/>
        <v>0</v>
      </c>
    </row>
    <row r="17" spans="1:23">
      <c r="A17" s="58">
        <f t="shared" si="4"/>
        <v>12</v>
      </c>
      <c r="B17" s="59">
        <v>112</v>
      </c>
      <c r="C17" s="59" t="str">
        <f>VLOOKUP(B17,'[1]list-flat-report_SOVIII.2021-Ju'!$C$3:$G$116,5,0)</f>
        <v>Modi Housing Pvt Ltd.</v>
      </c>
      <c r="D17" s="60">
        <v>8300000</v>
      </c>
      <c r="E17" s="60">
        <f t="shared" si="5"/>
        <v>3320000</v>
      </c>
      <c r="F17" s="60">
        <v>200000</v>
      </c>
      <c r="G17" s="61">
        <f t="shared" si="6"/>
        <v>3120000</v>
      </c>
      <c r="H17" s="60">
        <f t="shared" si="7"/>
        <v>780000</v>
      </c>
      <c r="I17" s="67">
        <v>44227</v>
      </c>
      <c r="J17" s="69">
        <v>780000</v>
      </c>
      <c r="K17" s="30"/>
      <c r="L17" s="27"/>
      <c r="M17" s="60"/>
      <c r="N17" s="60"/>
      <c r="O17" s="16"/>
      <c r="P17" s="16"/>
      <c r="Q17" s="16"/>
      <c r="R17" s="16"/>
      <c r="S17" s="60">
        <f t="shared" si="1"/>
        <v>780000</v>
      </c>
      <c r="T17" s="60">
        <v>780000</v>
      </c>
      <c r="U17" s="60">
        <f t="shared" si="8"/>
        <v>0</v>
      </c>
      <c r="V17" s="60">
        <f t="shared" si="9"/>
        <v>0</v>
      </c>
      <c r="W17" s="60">
        <f t="shared" si="10"/>
        <v>0</v>
      </c>
    </row>
    <row r="18" spans="1:23">
      <c r="A18" s="58">
        <f t="shared" si="4"/>
        <v>13</v>
      </c>
      <c r="B18" s="59">
        <v>113</v>
      </c>
      <c r="C18" s="59" t="str">
        <f>VLOOKUP(B18,'[1]list-flat-report_SOVIII.2021-Ju'!$C$3:$G$116,5,0)</f>
        <v>Mr. Tejas D. Mehta</v>
      </c>
      <c r="D18" s="60">
        <v>9100000</v>
      </c>
      <c r="E18" s="60">
        <f t="shared" si="5"/>
        <v>3640000</v>
      </c>
      <c r="F18" s="60">
        <v>200000</v>
      </c>
      <c r="G18" s="61">
        <f t="shared" si="6"/>
        <v>3440000</v>
      </c>
      <c r="H18" s="60">
        <f t="shared" si="7"/>
        <v>860000</v>
      </c>
      <c r="I18" s="67"/>
      <c r="J18" s="69"/>
      <c r="K18" s="30"/>
      <c r="L18" s="27"/>
      <c r="M18" s="60"/>
      <c r="N18" s="60"/>
      <c r="O18" s="16"/>
      <c r="P18" s="16"/>
      <c r="Q18" s="16"/>
      <c r="R18" s="16"/>
      <c r="S18" s="60"/>
      <c r="T18" s="60"/>
      <c r="U18" s="60"/>
      <c r="V18" s="60"/>
      <c r="W18" s="60"/>
    </row>
    <row r="19" spans="1:23">
      <c r="A19" s="58">
        <f t="shared" si="4"/>
        <v>14</v>
      </c>
      <c r="B19" s="59">
        <v>114</v>
      </c>
      <c r="C19" s="59" t="str">
        <f>VLOOKUP(B19,'[1]list-flat-report_SOVIII.2021-Ju'!$C$3:$G$116,5,0)</f>
        <v>Modi Housing Pvt Ltd.</v>
      </c>
      <c r="D19" s="60">
        <v>8500000</v>
      </c>
      <c r="E19" s="60">
        <f t="shared" ref="E19:E34" si="12">D19*40%</f>
        <v>3400000</v>
      </c>
      <c r="F19" s="60">
        <v>200000</v>
      </c>
      <c r="G19" s="61">
        <f t="shared" ref="G19:G34" si="13">E19-F19</f>
        <v>3200000</v>
      </c>
      <c r="H19" s="60">
        <f t="shared" ref="H19:H34" si="14">G19/4</f>
        <v>800000</v>
      </c>
      <c r="I19" s="67">
        <v>44227</v>
      </c>
      <c r="J19" s="69">
        <v>800000</v>
      </c>
      <c r="K19" s="30"/>
      <c r="L19" s="27"/>
      <c r="M19" s="60"/>
      <c r="N19" s="60"/>
      <c r="O19" s="16"/>
      <c r="P19" s="16"/>
      <c r="Q19" s="16"/>
      <c r="R19" s="16"/>
      <c r="S19" s="60">
        <f t="shared" ref="S19:S34" si="15">J19+L19+N19+P19+R19</f>
        <v>800000</v>
      </c>
      <c r="T19" s="60">
        <v>800000</v>
      </c>
      <c r="U19" s="60">
        <f t="shared" ref="U19:U24" si="16">+S19-T19</f>
        <v>0</v>
      </c>
      <c r="V19" s="60">
        <f t="shared" ref="V19:V34" si="17">U19*9%</f>
        <v>0</v>
      </c>
      <c r="W19" s="60">
        <f t="shared" ref="W19:W34" si="18">U19*9%</f>
        <v>0</v>
      </c>
    </row>
    <row r="20" spans="1:23">
      <c r="A20" s="58">
        <f t="shared" si="4"/>
        <v>15</v>
      </c>
      <c r="B20" s="59">
        <v>115</v>
      </c>
      <c r="C20" s="59" t="str">
        <f>VLOOKUP(B20,'[1]list-flat-report_SOVIII.2021-Ju'!$C$3:$G$116,5,0)</f>
        <v>Mr. Sudhir U. Mehta</v>
      </c>
      <c r="D20" s="60">
        <v>9110000</v>
      </c>
      <c r="E20" s="60">
        <f t="shared" si="12"/>
        <v>3644000</v>
      </c>
      <c r="F20" s="60">
        <v>200000</v>
      </c>
      <c r="G20" s="61">
        <f t="shared" si="13"/>
        <v>3444000</v>
      </c>
      <c r="H20" s="60">
        <f t="shared" si="14"/>
        <v>861000</v>
      </c>
      <c r="I20" s="67">
        <v>44227</v>
      </c>
      <c r="J20" s="61">
        <v>861000</v>
      </c>
      <c r="K20" s="30">
        <v>44411</v>
      </c>
      <c r="L20" s="70">
        <f>H20</f>
        <v>861000</v>
      </c>
      <c r="M20" s="59"/>
      <c r="N20" s="70"/>
      <c r="S20" s="60">
        <f t="shared" si="15"/>
        <v>1722000</v>
      </c>
      <c r="T20" s="60">
        <v>861000</v>
      </c>
      <c r="U20" s="60">
        <f t="shared" si="16"/>
        <v>861000</v>
      </c>
      <c r="V20" s="60">
        <f t="shared" si="17"/>
        <v>77490</v>
      </c>
      <c r="W20" s="60">
        <f t="shared" si="18"/>
        <v>77490</v>
      </c>
    </row>
    <row r="21" spans="1:23">
      <c r="A21" s="58">
        <f t="shared" si="4"/>
        <v>16</v>
      </c>
      <c r="B21" s="59">
        <v>116</v>
      </c>
      <c r="C21" s="59" t="str">
        <f>VLOOKUP(B21,'[1]list-flat-report_SOVIII.2021-Ju'!$C$3:$G$116,5,0)</f>
        <v>Modi Housing Pvt Ltd.</v>
      </c>
      <c r="D21" s="60">
        <v>8300000</v>
      </c>
      <c r="E21" s="60">
        <f t="shared" si="12"/>
        <v>3320000</v>
      </c>
      <c r="F21" s="60">
        <v>200000</v>
      </c>
      <c r="G21" s="61">
        <f t="shared" si="13"/>
        <v>3120000</v>
      </c>
      <c r="H21" s="60">
        <f t="shared" si="14"/>
        <v>780000</v>
      </c>
      <c r="I21" s="67">
        <v>44227</v>
      </c>
      <c r="J21" s="69">
        <v>780000</v>
      </c>
      <c r="K21" s="30">
        <v>44396</v>
      </c>
      <c r="L21" s="27">
        <f>J21</f>
        <v>780000</v>
      </c>
      <c r="M21" s="60"/>
      <c r="N21" s="60"/>
      <c r="O21" s="16"/>
      <c r="P21" s="16"/>
      <c r="Q21" s="16"/>
      <c r="R21" s="16"/>
      <c r="S21" s="60">
        <f t="shared" si="15"/>
        <v>1560000</v>
      </c>
      <c r="T21" s="60">
        <f>780000+780000</f>
        <v>1560000</v>
      </c>
      <c r="U21" s="60">
        <f t="shared" si="16"/>
        <v>0</v>
      </c>
      <c r="V21" s="60">
        <f t="shared" si="17"/>
        <v>0</v>
      </c>
      <c r="W21" s="60">
        <f t="shared" si="18"/>
        <v>0</v>
      </c>
    </row>
    <row r="22" spans="1:23">
      <c r="A22" s="58">
        <f t="shared" si="4"/>
        <v>17</v>
      </c>
      <c r="B22" s="59">
        <v>117</v>
      </c>
      <c r="C22" s="59" t="str">
        <f>VLOOKUP(B22,'[1]list-flat-report_SOVIII.2021-Ju'!$C$3:$G$116,5,0)</f>
        <v>Mr. Hardik D. Mehta</v>
      </c>
      <c r="D22" s="60">
        <v>8300000</v>
      </c>
      <c r="E22" s="60">
        <f t="shared" si="12"/>
        <v>3320000</v>
      </c>
      <c r="F22" s="60">
        <v>200000</v>
      </c>
      <c r="G22" s="61">
        <f t="shared" si="13"/>
        <v>3120000</v>
      </c>
      <c r="H22" s="60">
        <f t="shared" si="14"/>
        <v>780000</v>
      </c>
      <c r="I22" s="67">
        <v>44227</v>
      </c>
      <c r="J22" s="69">
        <v>780000</v>
      </c>
      <c r="K22" s="30"/>
      <c r="L22" s="27"/>
      <c r="M22" s="60"/>
      <c r="N22" s="60"/>
      <c r="O22" s="16"/>
      <c r="P22" s="16"/>
      <c r="Q22" s="16"/>
      <c r="R22" s="16"/>
      <c r="S22" s="60">
        <f t="shared" si="15"/>
        <v>780000</v>
      </c>
      <c r="T22" s="60">
        <v>780000</v>
      </c>
      <c r="U22" s="60">
        <f t="shared" si="16"/>
        <v>0</v>
      </c>
      <c r="V22" s="60">
        <f t="shared" si="17"/>
        <v>0</v>
      </c>
      <c r="W22" s="60">
        <f t="shared" si="18"/>
        <v>0</v>
      </c>
    </row>
    <row r="23" spans="1:23">
      <c r="A23" s="58">
        <f t="shared" si="4"/>
        <v>18</v>
      </c>
      <c r="B23" s="59">
        <v>118</v>
      </c>
      <c r="C23" s="59" t="str">
        <f>VLOOKUP(B23,'[1]list-flat-report_SOVIII.2021-Ju'!$C$3:$G$116,5,0)</f>
        <v>Modi Housing Pvt Ltd.</v>
      </c>
      <c r="D23" s="60">
        <v>8300000</v>
      </c>
      <c r="E23" s="60">
        <f t="shared" si="12"/>
        <v>3320000</v>
      </c>
      <c r="F23" s="60">
        <v>200000</v>
      </c>
      <c r="G23" s="61">
        <f t="shared" si="13"/>
        <v>3120000</v>
      </c>
      <c r="H23" s="60">
        <f t="shared" si="14"/>
        <v>780000</v>
      </c>
      <c r="I23" s="67">
        <v>44227</v>
      </c>
      <c r="J23" s="68">
        <v>780000</v>
      </c>
      <c r="K23" s="30"/>
      <c r="L23" s="27"/>
      <c r="M23" s="60"/>
      <c r="N23" s="60"/>
      <c r="O23" s="16"/>
      <c r="P23" s="16"/>
      <c r="Q23" s="16"/>
      <c r="R23" s="16"/>
      <c r="S23" s="60">
        <f t="shared" si="15"/>
        <v>780000</v>
      </c>
      <c r="T23" s="60">
        <v>780000</v>
      </c>
      <c r="U23" s="60">
        <f t="shared" si="16"/>
        <v>0</v>
      </c>
      <c r="V23" s="60">
        <f t="shared" si="17"/>
        <v>0</v>
      </c>
      <c r="W23" s="60">
        <f t="shared" si="18"/>
        <v>0</v>
      </c>
    </row>
    <row r="24" spans="1:23">
      <c r="A24" s="58">
        <f t="shared" si="4"/>
        <v>19</v>
      </c>
      <c r="B24" s="59">
        <v>119</v>
      </c>
      <c r="C24" s="59" t="str">
        <f>VLOOKUP(B24,'[1]list-flat-report_SOVIII.2021-Ju'!$C$3:$G$116,5,0)</f>
        <v>Mrs. Ruchi H. Mehta</v>
      </c>
      <c r="D24" s="60">
        <v>10000000</v>
      </c>
      <c r="E24" s="60">
        <f t="shared" si="12"/>
        <v>4000000</v>
      </c>
      <c r="F24" s="60">
        <v>200000</v>
      </c>
      <c r="G24" s="61">
        <f t="shared" si="13"/>
        <v>3800000</v>
      </c>
      <c r="H24" s="60">
        <f t="shared" si="14"/>
        <v>950000</v>
      </c>
      <c r="I24" s="67"/>
      <c r="J24" s="69"/>
      <c r="K24" s="30"/>
      <c r="L24" s="27"/>
      <c r="M24" s="60"/>
      <c r="N24" s="60"/>
      <c r="O24" s="16"/>
      <c r="P24" s="16"/>
      <c r="Q24" s="16"/>
      <c r="R24" s="16"/>
      <c r="S24" s="60">
        <f t="shared" si="15"/>
        <v>0</v>
      </c>
      <c r="T24" s="60">
        <v>0</v>
      </c>
      <c r="U24" s="60">
        <f t="shared" si="16"/>
        <v>0</v>
      </c>
      <c r="V24" s="60">
        <f t="shared" si="17"/>
        <v>0</v>
      </c>
      <c r="W24" s="60">
        <f t="shared" si="18"/>
        <v>0</v>
      </c>
    </row>
    <row r="25" spans="1:23">
      <c r="A25" s="58">
        <f t="shared" si="4"/>
        <v>20</v>
      </c>
      <c r="B25" s="59">
        <v>120</v>
      </c>
      <c r="C25" s="59" t="str">
        <f>VLOOKUP(B25,'[1]list-flat-report_SOVIII.2021-Ju'!$C$3:$G$116,5,0)</f>
        <v>Modi Housing Pvt Ltd.</v>
      </c>
      <c r="D25" s="60">
        <v>8300000</v>
      </c>
      <c r="E25" s="60">
        <f t="shared" si="12"/>
        <v>3320000</v>
      </c>
      <c r="F25" s="60">
        <v>200000</v>
      </c>
      <c r="G25" s="61">
        <f t="shared" si="13"/>
        <v>3120000</v>
      </c>
      <c r="H25" s="60">
        <f t="shared" si="14"/>
        <v>780000</v>
      </c>
      <c r="I25" s="30">
        <v>44310</v>
      </c>
      <c r="J25" s="69">
        <f t="shared" ref="J24:J26" si="19">H25</f>
        <v>780000</v>
      </c>
      <c r="K25" s="30"/>
      <c r="L25" s="27"/>
      <c r="M25" s="60"/>
      <c r="N25" s="60"/>
      <c r="O25" s="16"/>
      <c r="P25" s="16"/>
      <c r="Q25" s="16"/>
      <c r="R25" s="16"/>
      <c r="S25" s="60">
        <f t="shared" si="15"/>
        <v>780000</v>
      </c>
      <c r="T25" s="60">
        <v>780000</v>
      </c>
      <c r="U25" s="60">
        <f t="shared" ref="U25:U40" si="20">+S25-T25</f>
        <v>0</v>
      </c>
      <c r="V25" s="60">
        <f t="shared" si="17"/>
        <v>0</v>
      </c>
      <c r="W25" s="60">
        <f t="shared" si="18"/>
        <v>0</v>
      </c>
    </row>
    <row r="26" spans="1:23">
      <c r="A26" s="58">
        <f t="shared" si="4"/>
        <v>21</v>
      </c>
      <c r="B26" s="59">
        <v>121</v>
      </c>
      <c r="C26" s="59" t="str">
        <f>VLOOKUP(B26,'[1]list-flat-report_SOVIII.2021-Ju'!$C$3:$G$116,5,0)</f>
        <v>Mr. Sudhir U. Mehta</v>
      </c>
      <c r="D26" s="60">
        <v>9100000</v>
      </c>
      <c r="E26" s="60">
        <f t="shared" si="12"/>
        <v>3640000</v>
      </c>
      <c r="F26" s="60">
        <v>200000</v>
      </c>
      <c r="G26" s="61">
        <f t="shared" si="13"/>
        <v>3440000</v>
      </c>
      <c r="H26" s="60">
        <f t="shared" si="14"/>
        <v>860000</v>
      </c>
      <c r="I26" s="30">
        <v>44292</v>
      </c>
      <c r="J26" s="69">
        <f t="shared" si="19"/>
        <v>860000</v>
      </c>
      <c r="K26" s="30"/>
      <c r="L26" s="27"/>
      <c r="M26" s="60"/>
      <c r="N26" s="60"/>
      <c r="O26" s="16"/>
      <c r="P26" s="16"/>
      <c r="Q26" s="16"/>
      <c r="R26" s="16"/>
      <c r="S26" s="60">
        <f t="shared" si="15"/>
        <v>860000</v>
      </c>
      <c r="T26" s="60">
        <v>860000</v>
      </c>
      <c r="U26" s="60">
        <f t="shared" si="20"/>
        <v>0</v>
      </c>
      <c r="V26" s="60">
        <f t="shared" si="17"/>
        <v>0</v>
      </c>
      <c r="W26" s="60">
        <f t="shared" si="18"/>
        <v>0</v>
      </c>
    </row>
    <row r="27" spans="1:23">
      <c r="A27" s="58">
        <f t="shared" si="4"/>
        <v>22</v>
      </c>
      <c r="B27" s="59">
        <v>122</v>
      </c>
      <c r="C27" s="59" t="str">
        <f>VLOOKUP(B27,'[1]list-flat-report_SOVIII.2021-Ju'!$C$3:$G$116,5,0)</f>
        <v>Modi Housing Pvt Ltd.</v>
      </c>
      <c r="D27" s="60">
        <v>8200000</v>
      </c>
      <c r="E27" s="60">
        <f t="shared" si="12"/>
        <v>3280000</v>
      </c>
      <c r="F27" s="60">
        <v>200000</v>
      </c>
      <c r="G27" s="61">
        <f t="shared" si="13"/>
        <v>3080000</v>
      </c>
      <c r="H27" s="60">
        <f t="shared" si="14"/>
        <v>770000</v>
      </c>
      <c r="I27" s="67">
        <v>44227</v>
      </c>
      <c r="J27" s="69">
        <v>770000</v>
      </c>
      <c r="K27" s="30">
        <v>44426</v>
      </c>
      <c r="L27" s="27">
        <f t="shared" ref="L27:L30" si="21">H27</f>
        <v>770000</v>
      </c>
      <c r="M27" s="60"/>
      <c r="N27" s="60"/>
      <c r="O27" s="16"/>
      <c r="P27" s="16"/>
      <c r="Q27" s="16"/>
      <c r="R27" s="16"/>
      <c r="S27" s="60">
        <f t="shared" si="15"/>
        <v>1540000</v>
      </c>
      <c r="T27" s="60">
        <v>770000</v>
      </c>
      <c r="U27" s="60">
        <f t="shared" si="20"/>
        <v>770000</v>
      </c>
      <c r="V27" s="60">
        <f t="shared" si="17"/>
        <v>69300</v>
      </c>
      <c r="W27" s="60">
        <f t="shared" si="18"/>
        <v>69300</v>
      </c>
    </row>
    <row r="28" spans="1:23">
      <c r="A28" s="58">
        <f t="shared" si="4"/>
        <v>23</v>
      </c>
      <c r="B28" s="59">
        <v>123</v>
      </c>
      <c r="C28" s="59" t="str">
        <f>VLOOKUP(B28,'[1]list-flat-report_SOVIII.2021-Ju'!$C$3:$G$116,5,0)</f>
        <v>Mr. Sudhir U. Mehta</v>
      </c>
      <c r="D28" s="60">
        <v>8111000</v>
      </c>
      <c r="E28" s="60">
        <f t="shared" si="12"/>
        <v>3244400</v>
      </c>
      <c r="F28" s="60">
        <v>200000</v>
      </c>
      <c r="G28" s="61">
        <f t="shared" si="13"/>
        <v>3044400</v>
      </c>
      <c r="H28" s="60">
        <f t="shared" si="14"/>
        <v>761100</v>
      </c>
      <c r="I28" s="67">
        <v>44227</v>
      </c>
      <c r="J28" s="69">
        <v>761100</v>
      </c>
      <c r="K28" s="30">
        <v>44426</v>
      </c>
      <c r="L28" s="27">
        <f t="shared" si="21"/>
        <v>761100</v>
      </c>
      <c r="M28" s="60" t="s">
        <v>22</v>
      </c>
      <c r="N28" s="60"/>
      <c r="O28" s="16"/>
      <c r="P28" s="16"/>
      <c r="Q28" s="16"/>
      <c r="R28" s="16"/>
      <c r="S28" s="60">
        <f t="shared" si="15"/>
        <v>1522200</v>
      </c>
      <c r="T28" s="60">
        <v>761100</v>
      </c>
      <c r="U28" s="60">
        <f t="shared" si="20"/>
        <v>761100</v>
      </c>
      <c r="V28" s="60">
        <f t="shared" si="17"/>
        <v>68499</v>
      </c>
      <c r="W28" s="60">
        <f t="shared" si="18"/>
        <v>68499</v>
      </c>
    </row>
    <row r="29" spans="1:23">
      <c r="A29" s="58">
        <f t="shared" si="4"/>
        <v>24</v>
      </c>
      <c r="B29" s="59">
        <v>124</v>
      </c>
      <c r="C29" s="59" t="str">
        <f>VLOOKUP(B29,'[1]list-flat-report_SOVIII.2021-Ju'!$C$3:$G$116,5,0)</f>
        <v>Modi Housing Pvt Ltd.</v>
      </c>
      <c r="D29" s="60">
        <v>8500000</v>
      </c>
      <c r="E29" s="60">
        <f t="shared" si="12"/>
        <v>3400000</v>
      </c>
      <c r="F29" s="60">
        <v>200000</v>
      </c>
      <c r="G29" s="61">
        <f t="shared" si="13"/>
        <v>3200000</v>
      </c>
      <c r="H29" s="60">
        <f t="shared" si="14"/>
        <v>800000</v>
      </c>
      <c r="I29" s="67">
        <v>44227</v>
      </c>
      <c r="J29" s="69">
        <v>800000</v>
      </c>
      <c r="K29" s="30">
        <v>44426</v>
      </c>
      <c r="L29" s="27">
        <f t="shared" si="21"/>
        <v>800000</v>
      </c>
      <c r="M29" s="60"/>
      <c r="N29" s="60"/>
      <c r="O29" s="16"/>
      <c r="P29" s="16"/>
      <c r="Q29" s="16"/>
      <c r="R29" s="16"/>
      <c r="S29" s="60">
        <f t="shared" si="15"/>
        <v>1600000</v>
      </c>
      <c r="T29" s="60">
        <v>800000</v>
      </c>
      <c r="U29" s="60">
        <f t="shared" si="20"/>
        <v>800000</v>
      </c>
      <c r="V29" s="60">
        <f t="shared" si="17"/>
        <v>72000</v>
      </c>
      <c r="W29" s="60">
        <f t="shared" si="18"/>
        <v>72000</v>
      </c>
    </row>
    <row r="30" spans="1:23">
      <c r="A30" s="58">
        <f t="shared" si="4"/>
        <v>25</v>
      </c>
      <c r="B30" s="59">
        <v>125</v>
      </c>
      <c r="C30" s="59" t="str">
        <f>VLOOKUP(B30,'[1]list-flat-report_SOVIII.2021-Ju'!$C$3:$G$116,5,0)</f>
        <v>Mrs. Tejal T. Mehta</v>
      </c>
      <c r="D30" s="60">
        <v>8850000</v>
      </c>
      <c r="E30" s="60">
        <f t="shared" si="12"/>
        <v>3540000</v>
      </c>
      <c r="F30" s="60">
        <v>200000</v>
      </c>
      <c r="G30" s="61">
        <f t="shared" si="13"/>
        <v>3340000</v>
      </c>
      <c r="H30" s="60">
        <f t="shared" si="14"/>
        <v>835000</v>
      </c>
      <c r="I30" s="67">
        <v>44227</v>
      </c>
      <c r="J30" s="69">
        <v>835000</v>
      </c>
      <c r="K30" s="67">
        <v>44372</v>
      </c>
      <c r="L30" s="27">
        <f t="shared" si="21"/>
        <v>835000</v>
      </c>
      <c r="M30" s="67">
        <v>44384</v>
      </c>
      <c r="N30" s="60">
        <f>J30</f>
        <v>835000</v>
      </c>
      <c r="O30" s="16"/>
      <c r="P30" s="16"/>
      <c r="Q30" s="16"/>
      <c r="R30" s="16"/>
      <c r="S30" s="60">
        <f t="shared" si="15"/>
        <v>2505000</v>
      </c>
      <c r="T30" s="60">
        <f>1670000+835000</f>
        <v>2505000</v>
      </c>
      <c r="U30" s="60">
        <f t="shared" si="20"/>
        <v>0</v>
      </c>
      <c r="V30" s="60">
        <f t="shared" si="17"/>
        <v>0</v>
      </c>
      <c r="W30" s="60">
        <f t="shared" si="18"/>
        <v>0</v>
      </c>
    </row>
    <row r="31" spans="1:23">
      <c r="A31" s="58">
        <f t="shared" si="4"/>
        <v>26</v>
      </c>
      <c r="B31" s="59">
        <v>126</v>
      </c>
      <c r="C31" s="59" t="str">
        <f>VLOOKUP(B31,'[1]list-flat-report_SOVIII.2021-Ju'!$C$3:$G$116,5,0)</f>
        <v>Modi Housing Pvt Ltd.</v>
      </c>
      <c r="D31" s="60">
        <v>8200000</v>
      </c>
      <c r="E31" s="60">
        <f t="shared" si="12"/>
        <v>3280000</v>
      </c>
      <c r="F31" s="60">
        <v>200000</v>
      </c>
      <c r="G31" s="61">
        <f t="shared" si="13"/>
        <v>3080000</v>
      </c>
      <c r="H31" s="60">
        <f t="shared" si="14"/>
        <v>770000</v>
      </c>
      <c r="I31" s="67">
        <v>44227</v>
      </c>
      <c r="J31" s="69">
        <v>770000</v>
      </c>
      <c r="K31" s="67">
        <v>44227</v>
      </c>
      <c r="L31" s="27">
        <v>770000</v>
      </c>
      <c r="M31" s="60"/>
      <c r="N31" s="60"/>
      <c r="O31" s="16"/>
      <c r="P31" s="16"/>
      <c r="Q31" s="16"/>
      <c r="R31" s="16"/>
      <c r="S31" s="60">
        <f t="shared" si="15"/>
        <v>1540000</v>
      </c>
      <c r="T31" s="60">
        <v>1540000</v>
      </c>
      <c r="U31" s="60">
        <f t="shared" si="20"/>
        <v>0</v>
      </c>
      <c r="V31" s="60">
        <f t="shared" si="17"/>
        <v>0</v>
      </c>
      <c r="W31" s="60">
        <f t="shared" si="18"/>
        <v>0</v>
      </c>
    </row>
    <row r="32" spans="1:23">
      <c r="A32" s="58">
        <f t="shared" si="4"/>
        <v>27</v>
      </c>
      <c r="B32" s="59">
        <v>127</v>
      </c>
      <c r="C32" s="59" t="str">
        <f>VLOOKUP(B32,'[1]list-flat-report_SOVIII.2021-Ju'!$C$3:$G$116,5,0)</f>
        <v>Mrs. Aaradhana S. Mehta</v>
      </c>
      <c r="D32" s="60">
        <v>8200000</v>
      </c>
      <c r="E32" s="60">
        <f t="shared" si="12"/>
        <v>3280000</v>
      </c>
      <c r="F32" s="60">
        <v>200000</v>
      </c>
      <c r="G32" s="61">
        <f t="shared" si="13"/>
        <v>3080000</v>
      </c>
      <c r="H32" s="60">
        <f t="shared" si="14"/>
        <v>770000</v>
      </c>
      <c r="I32" s="67">
        <v>44227</v>
      </c>
      <c r="J32" s="69">
        <v>770000</v>
      </c>
      <c r="K32" s="67">
        <v>44227</v>
      </c>
      <c r="L32" s="27">
        <v>770000</v>
      </c>
      <c r="M32" s="71">
        <v>44428</v>
      </c>
      <c r="N32" s="72">
        <f>H32</f>
        <v>770000</v>
      </c>
      <c r="O32" s="16"/>
      <c r="P32" s="16"/>
      <c r="Q32" s="16"/>
      <c r="R32" s="16"/>
      <c r="S32" s="60">
        <f t="shared" si="15"/>
        <v>2310000</v>
      </c>
      <c r="T32" s="60">
        <f>1540000+770000</f>
        <v>2310000</v>
      </c>
      <c r="U32" s="60">
        <f t="shared" si="20"/>
        <v>0</v>
      </c>
      <c r="V32" s="60">
        <f t="shared" si="17"/>
        <v>0</v>
      </c>
      <c r="W32" s="60">
        <f t="shared" si="18"/>
        <v>0</v>
      </c>
    </row>
    <row r="33" spans="1:23">
      <c r="A33" s="58">
        <f t="shared" si="4"/>
        <v>28</v>
      </c>
      <c r="B33" s="59">
        <v>128</v>
      </c>
      <c r="C33" s="59" t="str">
        <f>VLOOKUP(B33,'[1]list-flat-report_SOVIII.2021-Ju'!$C$3:$G$116,5,0)</f>
        <v>Modi Housing Pvt Ltd.</v>
      </c>
      <c r="D33" s="60">
        <v>9810000</v>
      </c>
      <c r="E33" s="60">
        <f t="shared" si="12"/>
        <v>3924000</v>
      </c>
      <c r="F33" s="60">
        <v>200000</v>
      </c>
      <c r="G33" s="61">
        <f t="shared" si="13"/>
        <v>3724000</v>
      </c>
      <c r="H33" s="60">
        <f t="shared" si="14"/>
        <v>931000</v>
      </c>
      <c r="I33" s="67">
        <v>44347</v>
      </c>
      <c r="J33" s="69">
        <f>H33</f>
        <v>931000</v>
      </c>
      <c r="K33" s="67">
        <v>44347</v>
      </c>
      <c r="L33" s="27">
        <f>H33</f>
        <v>931000</v>
      </c>
      <c r="M33" s="60"/>
      <c r="N33" s="60"/>
      <c r="O33" s="16"/>
      <c r="P33" s="16"/>
      <c r="Q33" s="16"/>
      <c r="R33" s="16"/>
      <c r="S33" s="60">
        <f t="shared" si="15"/>
        <v>1862000</v>
      </c>
      <c r="T33" s="60">
        <v>1862000</v>
      </c>
      <c r="U33" s="60">
        <f t="shared" si="20"/>
        <v>0</v>
      </c>
      <c r="V33" s="60">
        <f t="shared" si="17"/>
        <v>0</v>
      </c>
      <c r="W33" s="60">
        <f t="shared" si="18"/>
        <v>0</v>
      </c>
    </row>
    <row r="34" spans="1:23">
      <c r="A34" s="58">
        <f t="shared" si="4"/>
        <v>29</v>
      </c>
      <c r="B34" s="59">
        <v>129</v>
      </c>
      <c r="C34" s="59" t="str">
        <f>VLOOKUP(B34,'[1]list-flat-report_SOVIII.2021-Ju'!$C$3:$G$116,5,0)</f>
        <v>Modi Housing Pvt Ltd.</v>
      </c>
      <c r="D34" s="60">
        <v>10120000</v>
      </c>
      <c r="E34" s="60">
        <f t="shared" si="12"/>
        <v>4048000</v>
      </c>
      <c r="F34" s="60">
        <v>200000</v>
      </c>
      <c r="G34" s="61">
        <f t="shared" si="13"/>
        <v>3848000</v>
      </c>
      <c r="H34" s="60">
        <f t="shared" si="14"/>
        <v>962000</v>
      </c>
      <c r="I34" s="67">
        <v>44347</v>
      </c>
      <c r="J34" s="69">
        <f>H34</f>
        <v>962000</v>
      </c>
      <c r="K34" s="67"/>
      <c r="L34" s="27"/>
      <c r="M34" s="60"/>
      <c r="N34" s="60"/>
      <c r="O34" s="16"/>
      <c r="P34" s="16"/>
      <c r="Q34" s="16"/>
      <c r="R34" s="16"/>
      <c r="S34" s="60">
        <f t="shared" si="15"/>
        <v>962000</v>
      </c>
      <c r="T34" s="60">
        <v>962000</v>
      </c>
      <c r="U34" s="60">
        <f t="shared" si="20"/>
        <v>0</v>
      </c>
      <c r="V34" s="60">
        <f t="shared" si="17"/>
        <v>0</v>
      </c>
      <c r="W34" s="60">
        <f t="shared" si="18"/>
        <v>0</v>
      </c>
    </row>
    <row r="35" spans="1:23">
      <c r="A35" s="58">
        <f t="shared" si="4"/>
        <v>30</v>
      </c>
      <c r="B35" s="59">
        <v>130</v>
      </c>
      <c r="C35" s="59" t="str">
        <f>VLOOKUP(B35,'[1]list-flat-report_SOVIII.2021-Ju'!$C$3:$G$116,5,0)</f>
        <v>Mrs. Aaradhana S. Mehta</v>
      </c>
      <c r="D35" s="60">
        <v>8300000</v>
      </c>
      <c r="E35" s="60">
        <f t="shared" ref="E35:E45" si="22">D35*40%</f>
        <v>3320000</v>
      </c>
      <c r="F35" s="60">
        <v>200000</v>
      </c>
      <c r="G35" s="61">
        <f t="shared" ref="G35:G45" si="23">E35-F35</f>
        <v>3120000</v>
      </c>
      <c r="H35" s="60">
        <f t="shared" ref="H35:H45" si="24">G35/4</f>
        <v>780000</v>
      </c>
      <c r="I35" s="67">
        <v>44227</v>
      </c>
      <c r="J35" s="69">
        <v>780000</v>
      </c>
      <c r="K35" s="67">
        <v>44227</v>
      </c>
      <c r="L35" s="27">
        <v>780000</v>
      </c>
      <c r="M35" s="67">
        <v>44286</v>
      </c>
      <c r="N35" s="60">
        <f>H35</f>
        <v>780000</v>
      </c>
      <c r="O35" s="16"/>
      <c r="P35" s="16"/>
      <c r="Q35" s="16"/>
      <c r="R35" s="16"/>
      <c r="S35" s="60">
        <f t="shared" ref="S35:S45" si="25">J35+L35+N35+P35+R35</f>
        <v>2340000</v>
      </c>
      <c r="T35" s="60">
        <f>780000+780000+780000</f>
        <v>2340000</v>
      </c>
      <c r="U35" s="60">
        <f t="shared" ref="U35:U40" si="26">+S35-T35</f>
        <v>0</v>
      </c>
      <c r="V35" s="60">
        <f t="shared" ref="V35:V44" si="27">U35*9%</f>
        <v>0</v>
      </c>
      <c r="W35" s="60">
        <f t="shared" ref="W35:W44" si="28">U35*9%</f>
        <v>0</v>
      </c>
    </row>
    <row r="36" spans="1:23">
      <c r="A36" s="58">
        <f t="shared" si="4"/>
        <v>31</v>
      </c>
      <c r="B36" s="59">
        <v>131</v>
      </c>
      <c r="C36" s="59" t="str">
        <f>VLOOKUP(B36,'[1]list-flat-report_SOVIII.2021-Ju'!$C$3:$G$116,5,0)</f>
        <v>Modi Housing Pvt Ltd.</v>
      </c>
      <c r="D36" s="60">
        <v>8300000</v>
      </c>
      <c r="E36" s="60">
        <f t="shared" si="22"/>
        <v>3320000</v>
      </c>
      <c r="F36" s="60">
        <v>200000</v>
      </c>
      <c r="G36" s="61">
        <f t="shared" si="23"/>
        <v>3120000</v>
      </c>
      <c r="H36" s="60">
        <f t="shared" si="24"/>
        <v>780000</v>
      </c>
      <c r="I36" s="67">
        <v>44227</v>
      </c>
      <c r="J36" s="69">
        <v>780000</v>
      </c>
      <c r="K36" s="67">
        <v>44227</v>
      </c>
      <c r="L36" s="27">
        <v>780000</v>
      </c>
      <c r="M36" s="67">
        <v>44286</v>
      </c>
      <c r="N36" s="60">
        <f>H36</f>
        <v>780000</v>
      </c>
      <c r="O36" s="16"/>
      <c r="P36" s="16"/>
      <c r="Q36" s="16"/>
      <c r="R36" s="16"/>
      <c r="S36" s="60">
        <f t="shared" si="25"/>
        <v>2340000</v>
      </c>
      <c r="T36" s="60">
        <f>780000+780000+780000</f>
        <v>2340000</v>
      </c>
      <c r="U36" s="60">
        <f t="shared" si="26"/>
        <v>0</v>
      </c>
      <c r="V36" s="60">
        <f t="shared" si="27"/>
        <v>0</v>
      </c>
      <c r="W36" s="60">
        <f t="shared" si="28"/>
        <v>0</v>
      </c>
    </row>
    <row r="37" spans="1:23">
      <c r="A37" s="58">
        <f t="shared" si="4"/>
        <v>32</v>
      </c>
      <c r="B37" s="59">
        <v>132</v>
      </c>
      <c r="C37" s="59" t="str">
        <f>VLOOKUP(B37,'[1]list-flat-report_SOVIII.2021-Ju'!$C$3:$G$116,5,0)</f>
        <v>Mrs. Aaradhana S. Mehta</v>
      </c>
      <c r="D37" s="60">
        <v>8300000</v>
      </c>
      <c r="E37" s="60">
        <f t="shared" si="22"/>
        <v>3320000</v>
      </c>
      <c r="F37" s="60">
        <v>200000</v>
      </c>
      <c r="G37" s="61">
        <f t="shared" si="23"/>
        <v>3120000</v>
      </c>
      <c r="H37" s="60">
        <f t="shared" si="24"/>
        <v>780000</v>
      </c>
      <c r="I37" s="67">
        <v>44227</v>
      </c>
      <c r="J37" s="69">
        <v>780000</v>
      </c>
      <c r="K37" s="67">
        <v>44426</v>
      </c>
      <c r="L37" s="27">
        <f t="shared" ref="L37:L40" si="29">+H37</f>
        <v>780000</v>
      </c>
      <c r="M37" s="60"/>
      <c r="N37" s="60"/>
      <c r="O37" s="16"/>
      <c r="P37" s="16"/>
      <c r="Q37" s="16"/>
      <c r="R37" s="16"/>
      <c r="S37" s="60">
        <f t="shared" si="25"/>
        <v>1560000</v>
      </c>
      <c r="T37" s="60">
        <v>780000</v>
      </c>
      <c r="U37" s="60">
        <f t="shared" si="26"/>
        <v>780000</v>
      </c>
      <c r="V37" s="60">
        <f t="shared" si="27"/>
        <v>70200</v>
      </c>
      <c r="W37" s="60">
        <f t="shared" si="28"/>
        <v>70200</v>
      </c>
    </row>
    <row r="38" spans="1:23">
      <c r="A38" s="58">
        <f t="shared" si="4"/>
        <v>33</v>
      </c>
      <c r="B38" s="59">
        <v>133</v>
      </c>
      <c r="C38" s="59" t="str">
        <f>VLOOKUP(B38,'[1]list-flat-report_SOVIII.2021-Ju'!$C$3:$G$116,5,0)</f>
        <v>Modi Housing Pvt Ltd.</v>
      </c>
      <c r="D38" s="60">
        <v>8300000</v>
      </c>
      <c r="E38" s="60">
        <f t="shared" si="22"/>
        <v>3320000</v>
      </c>
      <c r="F38" s="60">
        <v>200000</v>
      </c>
      <c r="G38" s="61">
        <f t="shared" si="23"/>
        <v>3120000</v>
      </c>
      <c r="H38" s="60">
        <f t="shared" si="24"/>
        <v>780000</v>
      </c>
      <c r="I38" s="67">
        <v>44227</v>
      </c>
      <c r="J38" s="69">
        <v>780000</v>
      </c>
      <c r="K38" s="67">
        <v>44426</v>
      </c>
      <c r="L38" s="27">
        <f t="shared" si="29"/>
        <v>780000</v>
      </c>
      <c r="M38" s="60"/>
      <c r="N38" s="60"/>
      <c r="O38" s="16"/>
      <c r="P38" s="16"/>
      <c r="Q38" s="16"/>
      <c r="R38" s="16"/>
      <c r="S38" s="60">
        <f t="shared" si="25"/>
        <v>1560000</v>
      </c>
      <c r="T38" s="60">
        <v>780000</v>
      </c>
      <c r="U38" s="60">
        <f t="shared" si="26"/>
        <v>780000</v>
      </c>
      <c r="V38" s="60">
        <f t="shared" si="27"/>
        <v>70200</v>
      </c>
      <c r="W38" s="60">
        <f t="shared" si="28"/>
        <v>70200</v>
      </c>
    </row>
    <row r="39" spans="1:23">
      <c r="A39" s="58">
        <f t="shared" si="4"/>
        <v>34</v>
      </c>
      <c r="B39" s="59">
        <v>134</v>
      </c>
      <c r="C39" s="59" t="str">
        <f>VLOOKUP(B39,'[1]list-flat-report_SOVIII.2021-Ju'!$C$3:$G$116,5,0)</f>
        <v>Mr. Karna S. Mehta</v>
      </c>
      <c r="D39" s="60">
        <v>8700000</v>
      </c>
      <c r="E39" s="60">
        <f t="shared" si="22"/>
        <v>3480000</v>
      </c>
      <c r="F39" s="60">
        <v>200000</v>
      </c>
      <c r="G39" s="61">
        <f t="shared" si="23"/>
        <v>3280000</v>
      </c>
      <c r="H39" s="60">
        <f t="shared" si="24"/>
        <v>820000</v>
      </c>
      <c r="I39" s="67">
        <v>44228</v>
      </c>
      <c r="J39" s="69">
        <v>820000</v>
      </c>
      <c r="K39" s="67">
        <v>44426</v>
      </c>
      <c r="L39" s="27">
        <f t="shared" si="29"/>
        <v>820000</v>
      </c>
      <c r="M39" s="60"/>
      <c r="N39" s="60"/>
      <c r="O39" s="16"/>
      <c r="P39" s="16"/>
      <c r="Q39" s="16"/>
      <c r="R39" s="16"/>
      <c r="S39" s="60">
        <f t="shared" si="25"/>
        <v>1640000</v>
      </c>
      <c r="T39" s="60">
        <v>820000</v>
      </c>
      <c r="U39" s="60">
        <f t="shared" si="26"/>
        <v>820000</v>
      </c>
      <c r="V39" s="60">
        <f t="shared" si="27"/>
        <v>73800</v>
      </c>
      <c r="W39" s="60">
        <f t="shared" si="28"/>
        <v>73800</v>
      </c>
    </row>
    <row r="40" spans="1:23">
      <c r="A40" s="58">
        <f t="shared" si="4"/>
        <v>35</v>
      </c>
      <c r="B40" s="59">
        <v>135</v>
      </c>
      <c r="C40" s="59" t="str">
        <f>VLOOKUP(B40,'[1]list-flat-report_SOVIII.2021-Ju'!$C$3:$G$116,5,0)</f>
        <v>Modi Housing Pvt Ltd.</v>
      </c>
      <c r="D40" s="60">
        <v>9100000</v>
      </c>
      <c r="E40" s="60">
        <f t="shared" si="22"/>
        <v>3640000</v>
      </c>
      <c r="F40" s="60">
        <v>200000</v>
      </c>
      <c r="G40" s="61">
        <f t="shared" si="23"/>
        <v>3440000</v>
      </c>
      <c r="H40" s="60">
        <f t="shared" si="24"/>
        <v>860000</v>
      </c>
      <c r="I40" s="67">
        <v>44228</v>
      </c>
      <c r="J40" s="69">
        <v>860000</v>
      </c>
      <c r="K40" s="67">
        <v>44426</v>
      </c>
      <c r="L40" s="27">
        <f t="shared" si="29"/>
        <v>860000</v>
      </c>
      <c r="M40" s="60"/>
      <c r="N40" s="60"/>
      <c r="O40" s="16"/>
      <c r="P40" s="16"/>
      <c r="Q40" s="16"/>
      <c r="R40" s="16"/>
      <c r="S40" s="60">
        <f t="shared" si="25"/>
        <v>1720000</v>
      </c>
      <c r="T40" s="60">
        <v>860000</v>
      </c>
      <c r="U40" s="60">
        <f t="shared" si="26"/>
        <v>860000</v>
      </c>
      <c r="V40" s="60">
        <f t="shared" si="27"/>
        <v>77400</v>
      </c>
      <c r="W40" s="60">
        <f t="shared" si="28"/>
        <v>77400</v>
      </c>
    </row>
    <row r="41" spans="1:23">
      <c r="A41" s="15">
        <f t="shared" si="4"/>
        <v>36</v>
      </c>
      <c r="B41" s="3">
        <v>136</v>
      </c>
      <c r="C41" s="3" t="str">
        <f>VLOOKUP(B41,'[1]list-flat-report_SOVIII.2021-Ju'!$C$3:$G$116,5,0)</f>
        <v>Mr. Karna S. Mehta</v>
      </c>
      <c r="D41" s="16">
        <v>0</v>
      </c>
      <c r="E41" s="16"/>
      <c r="F41" s="16"/>
      <c r="G41" s="46"/>
      <c r="H41" s="16"/>
      <c r="I41" s="26"/>
      <c r="J41" s="73"/>
      <c r="K41" s="30"/>
      <c r="L41" s="27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>
      <c r="A42" s="58">
        <f t="shared" si="4"/>
        <v>37</v>
      </c>
      <c r="B42" s="59">
        <v>137</v>
      </c>
      <c r="C42" s="59" t="str">
        <f>VLOOKUP(B42,'[1]list-flat-report_SOVIII.2021-Ju'!$C$3:$G$116,5,0)</f>
        <v>Modi Housing Pvt Ltd.</v>
      </c>
      <c r="D42" s="60">
        <v>9000000</v>
      </c>
      <c r="E42" s="60">
        <f t="shared" ref="E42:E46" si="30">D42*40%</f>
        <v>3600000</v>
      </c>
      <c r="F42" s="60">
        <v>200000</v>
      </c>
      <c r="G42" s="61">
        <f t="shared" ref="G42:G46" si="31">E42-F42</f>
        <v>3400000</v>
      </c>
      <c r="H42" s="60">
        <f t="shared" ref="H42:H46" si="32">G42/4</f>
        <v>850000</v>
      </c>
      <c r="I42" s="67">
        <v>44394</v>
      </c>
      <c r="J42" s="69">
        <f>H42</f>
        <v>850000</v>
      </c>
      <c r="K42" s="30"/>
      <c r="L42" s="27"/>
      <c r="M42" s="60"/>
      <c r="N42" s="60"/>
      <c r="O42" s="16"/>
      <c r="P42" s="16"/>
      <c r="Q42" s="16"/>
      <c r="R42" s="16"/>
      <c r="S42" s="60">
        <f>J42+L42+N42+P42+R42</f>
        <v>850000</v>
      </c>
      <c r="T42" s="60">
        <v>850000</v>
      </c>
      <c r="U42" s="60">
        <f>+S42-T42</f>
        <v>0</v>
      </c>
      <c r="V42" s="60">
        <f>U42*9%</f>
        <v>0</v>
      </c>
      <c r="W42" s="60">
        <f>U42*9%</f>
        <v>0</v>
      </c>
    </row>
    <row r="43" spans="1:23">
      <c r="A43" s="58">
        <f t="shared" si="4"/>
        <v>38</v>
      </c>
      <c r="B43" s="59">
        <v>138</v>
      </c>
      <c r="C43" s="59" t="str">
        <f>VLOOKUP(B43,'[1]list-flat-report_SOVIII.2021-Ju'!$C$3:$G$116,5,0)</f>
        <v>Smt. Rajashri K Mehta</v>
      </c>
      <c r="D43" s="60">
        <v>9000000</v>
      </c>
      <c r="E43" s="60">
        <f t="shared" si="30"/>
        <v>3600000</v>
      </c>
      <c r="F43" s="60">
        <v>200000</v>
      </c>
      <c r="G43" s="61">
        <f t="shared" si="31"/>
        <v>3400000</v>
      </c>
      <c r="H43" s="60">
        <f t="shared" si="32"/>
        <v>850000</v>
      </c>
      <c r="I43" s="67">
        <v>44349</v>
      </c>
      <c r="J43" s="69">
        <f t="shared" ref="J43:J50" si="33">H43</f>
        <v>850000</v>
      </c>
      <c r="K43" s="30"/>
      <c r="L43" s="27"/>
      <c r="M43" s="60"/>
      <c r="N43" s="60"/>
      <c r="O43" s="16"/>
      <c r="P43" s="16"/>
      <c r="Q43" s="16"/>
      <c r="R43" s="16"/>
      <c r="S43" s="60">
        <f>J43+L43+N43+P43+R43</f>
        <v>850000</v>
      </c>
      <c r="T43" s="60">
        <v>850000</v>
      </c>
      <c r="U43" s="60">
        <f>+S43-T43</f>
        <v>0</v>
      </c>
      <c r="V43" s="60">
        <f>U43*9%</f>
        <v>0</v>
      </c>
      <c r="W43" s="60">
        <f>U43*9%</f>
        <v>0</v>
      </c>
    </row>
    <row r="44" spans="1:23">
      <c r="A44" s="58">
        <f t="shared" si="4"/>
        <v>39</v>
      </c>
      <c r="B44" s="59">
        <v>139</v>
      </c>
      <c r="C44" s="59" t="str">
        <f>VLOOKUP(B44,'[1]list-flat-report_SOVIII.2021-Ju'!$C$3:$G$116,5,0)</f>
        <v>Modi Housing Pvt Ltd.</v>
      </c>
      <c r="D44" s="60">
        <v>9100000</v>
      </c>
      <c r="E44" s="60">
        <f t="shared" si="30"/>
        <v>3640000</v>
      </c>
      <c r="F44" s="60">
        <v>200000</v>
      </c>
      <c r="G44" s="61">
        <f t="shared" si="31"/>
        <v>3440000</v>
      </c>
      <c r="H44" s="60">
        <f t="shared" si="32"/>
        <v>860000</v>
      </c>
      <c r="I44" s="67">
        <v>44286</v>
      </c>
      <c r="J44" s="69">
        <f t="shared" si="33"/>
        <v>860000</v>
      </c>
      <c r="K44" s="30"/>
      <c r="L44" s="27"/>
      <c r="M44" s="60"/>
      <c r="N44" s="60"/>
      <c r="O44" s="16"/>
      <c r="P44" s="16"/>
      <c r="Q44" s="16"/>
      <c r="R44" s="16"/>
      <c r="S44" s="60">
        <f>J44+L44+N44+P44+R44</f>
        <v>860000</v>
      </c>
      <c r="T44" s="60">
        <v>860000</v>
      </c>
      <c r="U44" s="60">
        <f t="shared" ref="U44:U50" si="34">+S44-T44</f>
        <v>0</v>
      </c>
      <c r="V44" s="60">
        <f t="shared" ref="V44:V50" si="35">U44*9%</f>
        <v>0</v>
      </c>
      <c r="W44" s="60">
        <f t="shared" ref="W44:W50" si="36">U44*9%</f>
        <v>0</v>
      </c>
    </row>
    <row r="45" spans="1:23">
      <c r="A45" s="15">
        <f t="shared" si="4"/>
        <v>40</v>
      </c>
      <c r="B45" s="3">
        <v>140</v>
      </c>
      <c r="C45" s="3" t="str">
        <f>VLOOKUP(B45,'[1]list-flat-report_SOVIII.2021-Ju'!$C$3:$G$116,5,0)</f>
        <v>Smt. Rajashri K Mehta</v>
      </c>
      <c r="D45" s="16">
        <v>0</v>
      </c>
      <c r="E45" s="16"/>
      <c r="F45" s="16"/>
      <c r="G45" s="46"/>
      <c r="H45" s="16"/>
      <c r="I45" s="26"/>
      <c r="J45" s="73"/>
      <c r="K45" s="30"/>
      <c r="L45" s="27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spans="1:23">
      <c r="A46" s="58">
        <f t="shared" si="4"/>
        <v>41</v>
      </c>
      <c r="B46" s="59">
        <v>141</v>
      </c>
      <c r="C46" s="59" t="str">
        <f>VLOOKUP(B46,'[1]list-flat-report_SOVIII.2021-Ju'!$C$3:$G$116,5,0)</f>
        <v>Modi Housing Pvt Ltd.</v>
      </c>
      <c r="D46" s="60">
        <v>9150000</v>
      </c>
      <c r="E46" s="60">
        <f t="shared" si="30"/>
        <v>3660000</v>
      </c>
      <c r="F46" s="60">
        <v>200000</v>
      </c>
      <c r="G46" s="61">
        <f t="shared" si="31"/>
        <v>3460000</v>
      </c>
      <c r="H46" s="60">
        <f t="shared" si="32"/>
        <v>865000</v>
      </c>
      <c r="I46" s="67">
        <v>44369</v>
      </c>
      <c r="J46" s="69">
        <f t="shared" si="33"/>
        <v>865000</v>
      </c>
      <c r="K46" s="30"/>
      <c r="L46" s="27"/>
      <c r="M46" s="60"/>
      <c r="N46" s="60"/>
      <c r="O46" s="16"/>
      <c r="P46" s="16"/>
      <c r="Q46" s="16"/>
      <c r="R46" s="16"/>
      <c r="S46" s="60">
        <f t="shared" ref="S46:S50" si="37">J46+L46+N46+P46+R46</f>
        <v>865000</v>
      </c>
      <c r="T46" s="60">
        <v>865000</v>
      </c>
      <c r="U46" s="60">
        <f t="shared" si="34"/>
        <v>0</v>
      </c>
      <c r="V46" s="60">
        <f t="shared" si="35"/>
        <v>0</v>
      </c>
      <c r="W46" s="60">
        <f t="shared" si="36"/>
        <v>0</v>
      </c>
    </row>
    <row r="47" spans="1:23">
      <c r="A47" s="58">
        <f t="shared" si="4"/>
        <v>42</v>
      </c>
      <c r="B47" s="59">
        <v>142</v>
      </c>
      <c r="C47" s="59" t="str">
        <f>VLOOKUP(B47,'[1]list-flat-report_SOVIII.2021-Ju'!$C$3:$G$116,5,0)</f>
        <v>Modi Housing Pvt Ltd.</v>
      </c>
      <c r="D47" s="60">
        <v>9100000</v>
      </c>
      <c r="E47" s="60">
        <f t="shared" ref="E47:E50" si="38">D47*40%</f>
        <v>3640000</v>
      </c>
      <c r="F47" s="60">
        <v>200000</v>
      </c>
      <c r="G47" s="61">
        <f t="shared" ref="G47:G50" si="39">E47-F47</f>
        <v>3440000</v>
      </c>
      <c r="H47" s="60">
        <f t="shared" ref="H47:H50" si="40">G47/4</f>
        <v>860000</v>
      </c>
      <c r="I47" s="67">
        <v>44357</v>
      </c>
      <c r="J47" s="69">
        <f t="shared" si="33"/>
        <v>860000</v>
      </c>
      <c r="K47" s="30"/>
      <c r="L47" s="27"/>
      <c r="M47" s="60"/>
      <c r="N47" s="60"/>
      <c r="O47" s="16"/>
      <c r="P47" s="16"/>
      <c r="Q47" s="16"/>
      <c r="R47" s="16"/>
      <c r="S47" s="60">
        <f t="shared" si="37"/>
        <v>860000</v>
      </c>
      <c r="T47" s="60">
        <v>860000</v>
      </c>
      <c r="U47" s="60">
        <f t="shared" si="34"/>
        <v>0</v>
      </c>
      <c r="V47" s="60">
        <f t="shared" si="35"/>
        <v>0</v>
      </c>
      <c r="W47" s="60">
        <f t="shared" si="36"/>
        <v>0</v>
      </c>
    </row>
    <row r="48" spans="1:23">
      <c r="A48" s="58">
        <f t="shared" si="4"/>
        <v>43</v>
      </c>
      <c r="B48" s="59">
        <v>143</v>
      </c>
      <c r="C48" s="59" t="str">
        <f>VLOOKUP(B48,'[1]list-flat-report_SOVIII.2021-Ju'!$C$3:$G$116,5,0)</f>
        <v>Modi Housing Pvt Ltd.</v>
      </c>
      <c r="D48" s="60">
        <v>9000000</v>
      </c>
      <c r="E48" s="60">
        <f t="shared" si="38"/>
        <v>3600000</v>
      </c>
      <c r="F48" s="60">
        <v>200000</v>
      </c>
      <c r="G48" s="61">
        <f t="shared" si="39"/>
        <v>3400000</v>
      </c>
      <c r="H48" s="60">
        <f t="shared" si="40"/>
        <v>850000</v>
      </c>
      <c r="I48" s="30">
        <v>44300</v>
      </c>
      <c r="J48" s="69">
        <f t="shared" si="33"/>
        <v>850000</v>
      </c>
      <c r="K48" s="30"/>
      <c r="L48" s="27"/>
      <c r="M48" s="60"/>
      <c r="N48" s="60"/>
      <c r="O48" s="16"/>
      <c r="P48" s="16"/>
      <c r="Q48" s="16"/>
      <c r="R48" s="16"/>
      <c r="S48" s="60">
        <f t="shared" si="37"/>
        <v>850000</v>
      </c>
      <c r="T48" s="60">
        <v>850000</v>
      </c>
      <c r="U48" s="60">
        <f t="shared" si="34"/>
        <v>0</v>
      </c>
      <c r="V48" s="60">
        <f t="shared" si="35"/>
        <v>0</v>
      </c>
      <c r="W48" s="60">
        <f t="shared" si="36"/>
        <v>0</v>
      </c>
    </row>
    <row r="49" spans="1:23">
      <c r="A49" s="58">
        <f t="shared" si="4"/>
        <v>44</v>
      </c>
      <c r="B49" s="59">
        <v>144</v>
      </c>
      <c r="C49" s="59" t="str">
        <f>VLOOKUP(B49,'[1]list-flat-report_SOVIII.2021-Ju'!$C$3:$G$116,5,0)</f>
        <v>Modi Housing Pvt Ltd.</v>
      </c>
      <c r="D49" s="60">
        <v>9070000</v>
      </c>
      <c r="E49" s="60">
        <f t="shared" si="38"/>
        <v>3628000</v>
      </c>
      <c r="F49" s="60">
        <v>200000</v>
      </c>
      <c r="G49" s="61">
        <f t="shared" si="39"/>
        <v>3428000</v>
      </c>
      <c r="H49" s="60">
        <f t="shared" si="40"/>
        <v>857000</v>
      </c>
      <c r="I49" s="30">
        <v>44305</v>
      </c>
      <c r="J49" s="69">
        <f t="shared" si="33"/>
        <v>857000</v>
      </c>
      <c r="K49" s="30"/>
      <c r="L49" s="27"/>
      <c r="M49" s="60"/>
      <c r="N49" s="60"/>
      <c r="O49" s="16"/>
      <c r="P49" s="16"/>
      <c r="Q49" s="16"/>
      <c r="R49" s="16"/>
      <c r="S49" s="60">
        <f t="shared" si="37"/>
        <v>857000</v>
      </c>
      <c r="T49" s="60">
        <v>857000</v>
      </c>
      <c r="U49" s="60">
        <f t="shared" si="34"/>
        <v>0</v>
      </c>
      <c r="V49" s="60">
        <f t="shared" si="35"/>
        <v>0</v>
      </c>
      <c r="W49" s="60">
        <f t="shared" si="36"/>
        <v>0</v>
      </c>
    </row>
    <row r="50" spans="1:23">
      <c r="A50" s="58">
        <f t="shared" si="4"/>
        <v>45</v>
      </c>
      <c r="B50" s="59">
        <f t="shared" ref="B50:B73" si="41">+B49+1</f>
        <v>145</v>
      </c>
      <c r="C50" s="59" t="str">
        <f>VLOOKUP(B50,'[1]list-flat-report_SOVIII.2021-Ju'!$C$3:$G$116,5,0)</f>
        <v>Modi Housing Pvt Ltd.</v>
      </c>
      <c r="D50" s="60">
        <v>9100000</v>
      </c>
      <c r="E50" s="60">
        <f t="shared" si="38"/>
        <v>3640000</v>
      </c>
      <c r="F50" s="60">
        <v>200000</v>
      </c>
      <c r="G50" s="61">
        <f t="shared" si="39"/>
        <v>3440000</v>
      </c>
      <c r="H50" s="60">
        <f t="shared" si="40"/>
        <v>860000</v>
      </c>
      <c r="I50" s="30">
        <v>44382</v>
      </c>
      <c r="J50" s="69">
        <f t="shared" si="33"/>
        <v>860000</v>
      </c>
      <c r="K50" s="30"/>
      <c r="L50" s="27"/>
      <c r="M50" s="60"/>
      <c r="N50" s="60"/>
      <c r="O50" s="16"/>
      <c r="P50" s="16"/>
      <c r="Q50" s="16"/>
      <c r="R50" s="16"/>
      <c r="S50" s="60">
        <f t="shared" si="37"/>
        <v>860000</v>
      </c>
      <c r="T50" s="60">
        <v>860000</v>
      </c>
      <c r="U50" s="60">
        <f t="shared" si="34"/>
        <v>0</v>
      </c>
      <c r="V50" s="60">
        <f t="shared" si="35"/>
        <v>0</v>
      </c>
      <c r="W50" s="60">
        <f t="shared" si="36"/>
        <v>0</v>
      </c>
    </row>
    <row r="51" spans="1:23">
      <c r="A51" s="15">
        <f t="shared" si="4"/>
        <v>46</v>
      </c>
      <c r="B51" s="3">
        <f t="shared" si="41"/>
        <v>146</v>
      </c>
      <c r="C51" s="3" t="str">
        <f>VLOOKUP(B51,'[1]list-flat-report_SOVIII.2021-Ju'!$C$3:$G$116,5,0)</f>
        <v>Modi Housing Pvt Ltd.</v>
      </c>
      <c r="D51" s="16">
        <v>0</v>
      </c>
      <c r="E51" s="16"/>
      <c r="F51" s="16"/>
      <c r="G51" s="46"/>
      <c r="H51" s="16"/>
      <c r="I51" s="30"/>
      <c r="J51" s="73"/>
      <c r="K51" s="30"/>
      <c r="L51" s="27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spans="1:23">
      <c r="A52" s="15">
        <f t="shared" si="4"/>
        <v>47</v>
      </c>
      <c r="B52" s="3">
        <f t="shared" si="41"/>
        <v>147</v>
      </c>
      <c r="C52" s="3" t="str">
        <f>VLOOKUP(B52,'[1]list-flat-report_SOVIII.2021-Ju'!$C$3:$G$116,5,0)</f>
        <v>Modi Housing Pvt Ltd.</v>
      </c>
      <c r="D52" s="16">
        <v>0</v>
      </c>
      <c r="E52" s="16"/>
      <c r="F52" s="16"/>
      <c r="G52" s="46"/>
      <c r="H52" s="16"/>
      <c r="I52" s="30"/>
      <c r="J52" s="73"/>
      <c r="K52" s="30"/>
      <c r="L52" s="27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1:23">
      <c r="A53" s="58">
        <f t="shared" si="4"/>
        <v>48</v>
      </c>
      <c r="B53" s="59">
        <f t="shared" si="41"/>
        <v>148</v>
      </c>
      <c r="C53" s="59" t="str">
        <f>VLOOKUP(B53,'[1]list-flat-report_SOVIII.2021-Ju'!$C$3:$G$116,5,0)</f>
        <v>Modi Housing Pvt Ltd.</v>
      </c>
      <c r="D53" s="60">
        <v>8930000</v>
      </c>
      <c r="E53" s="60">
        <f t="shared" ref="E53:E65" si="42">D53*40%</f>
        <v>3572000</v>
      </c>
      <c r="F53" s="60">
        <v>200000</v>
      </c>
      <c r="G53" s="61">
        <f t="shared" ref="G53:G65" si="43">E53-F53</f>
        <v>3372000</v>
      </c>
      <c r="H53" s="60">
        <f t="shared" ref="H53:H65" si="44">G53/4</f>
        <v>843000</v>
      </c>
      <c r="I53" s="30"/>
      <c r="J53" s="69"/>
      <c r="K53" s="30"/>
      <c r="L53" s="27"/>
      <c r="M53" s="60"/>
      <c r="N53" s="60"/>
      <c r="O53" s="16"/>
      <c r="P53" s="16"/>
      <c r="Q53" s="16"/>
      <c r="R53" s="16"/>
      <c r="S53" s="60"/>
      <c r="T53" s="60"/>
      <c r="U53" s="60"/>
      <c r="V53" s="60"/>
      <c r="W53" s="60"/>
    </row>
    <row r="54" spans="1:23">
      <c r="A54" s="58">
        <f t="shared" si="4"/>
        <v>49</v>
      </c>
      <c r="B54" s="59">
        <f t="shared" si="41"/>
        <v>149</v>
      </c>
      <c r="C54" s="59" t="str">
        <f>VLOOKUP(B54,'[1]list-flat-report_SOVIII.2021-Ju'!$C$3:$G$116,5,0)</f>
        <v>Modi Housing Pvt Ltd.</v>
      </c>
      <c r="D54" s="60">
        <v>8600000</v>
      </c>
      <c r="E54" s="60">
        <f t="shared" si="42"/>
        <v>3440000</v>
      </c>
      <c r="F54" s="60">
        <v>200000</v>
      </c>
      <c r="G54" s="61">
        <f t="shared" si="43"/>
        <v>3240000</v>
      </c>
      <c r="H54" s="60">
        <f t="shared" si="44"/>
        <v>810000</v>
      </c>
      <c r="I54" s="30"/>
      <c r="J54" s="69"/>
      <c r="K54" s="30"/>
      <c r="L54" s="27"/>
      <c r="M54" s="60"/>
      <c r="N54" s="60"/>
      <c r="O54" s="16"/>
      <c r="P54" s="16"/>
      <c r="Q54" s="16"/>
      <c r="R54" s="16"/>
      <c r="S54" s="60"/>
      <c r="T54" s="60"/>
      <c r="U54" s="60"/>
      <c r="V54" s="60"/>
      <c r="W54" s="60"/>
    </row>
    <row r="55" spans="1:23">
      <c r="A55" s="58">
        <f t="shared" si="4"/>
        <v>50</v>
      </c>
      <c r="B55" s="59">
        <f t="shared" si="41"/>
        <v>150</v>
      </c>
      <c r="C55" s="59" t="str">
        <f>VLOOKUP(B55,'[1]list-flat-report_SOVIII.2021-Ju'!$C$3:$G$116,5,0)</f>
        <v>Modi Housing Pvt Ltd.</v>
      </c>
      <c r="D55" s="60">
        <v>8600000</v>
      </c>
      <c r="E55" s="60">
        <f t="shared" si="42"/>
        <v>3440000</v>
      </c>
      <c r="F55" s="60">
        <v>200000</v>
      </c>
      <c r="G55" s="61">
        <f t="shared" si="43"/>
        <v>3240000</v>
      </c>
      <c r="H55" s="60">
        <f t="shared" si="44"/>
        <v>810000</v>
      </c>
      <c r="I55" s="30"/>
      <c r="J55" s="69"/>
      <c r="K55" s="30"/>
      <c r="L55" s="27"/>
      <c r="M55" s="60"/>
      <c r="N55" s="60"/>
      <c r="O55" s="16"/>
      <c r="P55" s="16"/>
      <c r="Q55" s="16"/>
      <c r="R55" s="16"/>
      <c r="S55" s="60"/>
      <c r="T55" s="60"/>
      <c r="U55" s="60"/>
      <c r="V55" s="60"/>
      <c r="W55" s="60"/>
    </row>
    <row r="56" spans="1:23">
      <c r="A56" s="58">
        <f t="shared" si="4"/>
        <v>51</v>
      </c>
      <c r="B56" s="59">
        <f t="shared" si="41"/>
        <v>151</v>
      </c>
      <c r="C56" s="59" t="str">
        <f>VLOOKUP(B56,'[1]list-flat-report_SOVIII.2021-Ju'!$C$3:$G$116,5,0)</f>
        <v>Modi Housing Pvt Ltd.</v>
      </c>
      <c r="D56" s="60">
        <v>8600000</v>
      </c>
      <c r="E56" s="60">
        <f t="shared" si="42"/>
        <v>3440000</v>
      </c>
      <c r="F56" s="60">
        <v>200000</v>
      </c>
      <c r="G56" s="61">
        <f t="shared" si="43"/>
        <v>3240000</v>
      </c>
      <c r="H56" s="60">
        <f t="shared" si="44"/>
        <v>810000</v>
      </c>
      <c r="I56" s="30"/>
      <c r="J56" s="69"/>
      <c r="K56" s="30"/>
      <c r="L56" s="27"/>
      <c r="M56" s="60"/>
      <c r="N56" s="60"/>
      <c r="O56" s="16"/>
      <c r="P56" s="16"/>
      <c r="Q56" s="16"/>
      <c r="R56" s="16"/>
      <c r="S56" s="60"/>
      <c r="T56" s="60"/>
      <c r="U56" s="60"/>
      <c r="V56" s="60"/>
      <c r="W56" s="60"/>
    </row>
    <row r="57" spans="1:23">
      <c r="A57" s="58">
        <f t="shared" si="4"/>
        <v>52</v>
      </c>
      <c r="B57" s="59">
        <f t="shared" si="41"/>
        <v>152</v>
      </c>
      <c r="C57" s="59" t="str">
        <f>VLOOKUP(B57,'[1]list-flat-report_SOVIII.2021-Ju'!$C$3:$G$116,5,0)</f>
        <v>Modi Housing Pvt Ltd.</v>
      </c>
      <c r="D57" s="60">
        <v>9381000</v>
      </c>
      <c r="E57" s="60">
        <f t="shared" si="42"/>
        <v>3752400</v>
      </c>
      <c r="F57" s="60">
        <v>200000</v>
      </c>
      <c r="G57" s="61">
        <f t="shared" si="43"/>
        <v>3552400</v>
      </c>
      <c r="H57" s="60">
        <f t="shared" si="44"/>
        <v>888100</v>
      </c>
      <c r="I57" s="30"/>
      <c r="J57" s="69"/>
      <c r="K57" s="30"/>
      <c r="L57" s="27"/>
      <c r="M57" s="60"/>
      <c r="N57" s="60"/>
      <c r="O57" s="16"/>
      <c r="P57" s="16"/>
      <c r="Q57" s="16"/>
      <c r="R57" s="16"/>
      <c r="S57" s="60"/>
      <c r="T57" s="60"/>
      <c r="U57" s="60"/>
      <c r="V57" s="60"/>
      <c r="W57" s="60"/>
    </row>
    <row r="58" spans="1:23">
      <c r="A58" s="58">
        <f t="shared" si="4"/>
        <v>53</v>
      </c>
      <c r="B58" s="59">
        <f t="shared" si="41"/>
        <v>153</v>
      </c>
      <c r="C58" s="59" t="str">
        <f>VLOOKUP(B58,'[1]list-flat-report_SOVIII.2021-Ju'!$C$3:$G$116,5,0)</f>
        <v>Modi Housing Pvt Ltd.</v>
      </c>
      <c r="D58" s="60">
        <v>9100000</v>
      </c>
      <c r="E58" s="60">
        <f t="shared" si="42"/>
        <v>3640000</v>
      </c>
      <c r="F58" s="60">
        <v>200000</v>
      </c>
      <c r="G58" s="61">
        <f t="shared" si="43"/>
        <v>3440000</v>
      </c>
      <c r="H58" s="60">
        <f t="shared" si="44"/>
        <v>860000</v>
      </c>
      <c r="I58" s="30"/>
      <c r="J58" s="69"/>
      <c r="K58" s="30"/>
      <c r="L58" s="27"/>
      <c r="M58" s="60"/>
      <c r="N58" s="60"/>
      <c r="O58" s="16"/>
      <c r="P58" s="16"/>
      <c r="Q58" s="16"/>
      <c r="R58" s="16"/>
      <c r="S58" s="60"/>
      <c r="T58" s="60"/>
      <c r="U58" s="60"/>
      <c r="V58" s="60"/>
      <c r="W58" s="60"/>
    </row>
    <row r="59" spans="1:23">
      <c r="A59" s="58">
        <f t="shared" si="4"/>
        <v>54</v>
      </c>
      <c r="B59" s="59">
        <f t="shared" si="41"/>
        <v>154</v>
      </c>
      <c r="C59" s="59" t="str">
        <f>VLOOKUP(B59,'[1]list-flat-report_SOVIII.2021-Ju'!$C$3:$G$116,5,0)</f>
        <v>Modi Housing Pvt Ltd.</v>
      </c>
      <c r="D59" s="60">
        <v>9100000</v>
      </c>
      <c r="E59" s="60">
        <f t="shared" si="42"/>
        <v>3640000</v>
      </c>
      <c r="F59" s="60">
        <v>200000</v>
      </c>
      <c r="G59" s="61">
        <f t="shared" si="43"/>
        <v>3440000</v>
      </c>
      <c r="H59" s="60">
        <f t="shared" si="44"/>
        <v>860000</v>
      </c>
      <c r="I59" s="30"/>
      <c r="J59" s="69"/>
      <c r="K59" s="30"/>
      <c r="L59" s="27"/>
      <c r="M59" s="60"/>
      <c r="N59" s="60"/>
      <c r="O59" s="16"/>
      <c r="P59" s="16"/>
      <c r="Q59" s="16"/>
      <c r="R59" s="16"/>
      <c r="S59" s="60"/>
      <c r="T59" s="60"/>
      <c r="U59" s="60"/>
      <c r="V59" s="60"/>
      <c r="W59" s="60"/>
    </row>
    <row r="60" spans="1:23">
      <c r="A60" s="58">
        <f t="shared" si="4"/>
        <v>55</v>
      </c>
      <c r="B60" s="59">
        <f t="shared" si="41"/>
        <v>155</v>
      </c>
      <c r="C60" s="59" t="str">
        <f>VLOOKUP(B60,'[1]list-flat-report_SOVIII.2021-Ju'!$C$3:$G$116,5,0)</f>
        <v>Modi Housing Pvt Ltd.</v>
      </c>
      <c r="D60" s="60">
        <v>8850000</v>
      </c>
      <c r="E60" s="60">
        <f t="shared" si="42"/>
        <v>3540000</v>
      </c>
      <c r="F60" s="60">
        <v>200000</v>
      </c>
      <c r="G60" s="61">
        <f t="shared" si="43"/>
        <v>3340000</v>
      </c>
      <c r="H60" s="60">
        <f t="shared" si="44"/>
        <v>835000</v>
      </c>
      <c r="I60" s="30"/>
      <c r="J60" s="69"/>
      <c r="K60" s="30"/>
      <c r="L60" s="27"/>
      <c r="M60" s="60"/>
      <c r="N60" s="60"/>
      <c r="O60" s="16"/>
      <c r="P60" s="16"/>
      <c r="Q60" s="16"/>
      <c r="R60" s="16"/>
      <c r="S60" s="60"/>
      <c r="T60" s="60"/>
      <c r="U60" s="60"/>
      <c r="V60" s="60"/>
      <c r="W60" s="60"/>
    </row>
    <row r="61" spans="1:23">
      <c r="A61" s="58">
        <f t="shared" si="4"/>
        <v>56</v>
      </c>
      <c r="B61" s="59">
        <f t="shared" si="41"/>
        <v>156</v>
      </c>
      <c r="C61" s="59" t="str">
        <f>VLOOKUP(B61,'[1]list-flat-report_SOVIII.2021-Ju'!$C$3:$G$116,5,0)</f>
        <v>Modi Housing Pvt Ltd.</v>
      </c>
      <c r="D61" s="60">
        <v>7350000</v>
      </c>
      <c r="E61" s="60">
        <f t="shared" si="42"/>
        <v>2940000</v>
      </c>
      <c r="F61" s="60">
        <v>200000</v>
      </c>
      <c r="G61" s="61">
        <f t="shared" si="43"/>
        <v>2740000</v>
      </c>
      <c r="H61" s="60">
        <f t="shared" si="44"/>
        <v>685000</v>
      </c>
      <c r="I61" s="30"/>
      <c r="J61" s="69"/>
      <c r="K61" s="30"/>
      <c r="L61" s="27"/>
      <c r="M61" s="60"/>
      <c r="N61" s="60"/>
      <c r="O61" s="16"/>
      <c r="P61" s="16"/>
      <c r="Q61" s="16"/>
      <c r="R61" s="16"/>
      <c r="S61" s="60"/>
      <c r="T61" s="60"/>
      <c r="U61" s="60"/>
      <c r="V61" s="60"/>
      <c r="W61" s="60"/>
    </row>
    <row r="62" spans="1:23">
      <c r="A62" s="58">
        <f t="shared" si="4"/>
        <v>57</v>
      </c>
      <c r="B62" s="59">
        <f t="shared" ref="B62:B119" si="45">+B61+1</f>
        <v>157</v>
      </c>
      <c r="C62" s="59" t="str">
        <f>VLOOKUP(B62,'[1]list-flat-report_SOVIII.2021-Ju'!$C$3:$G$116,5,0)</f>
        <v>Modi Housing Pvt Ltd.</v>
      </c>
      <c r="D62" s="60">
        <v>8850000</v>
      </c>
      <c r="E62" s="60">
        <f t="shared" si="42"/>
        <v>3540000</v>
      </c>
      <c r="F62" s="60">
        <v>200000</v>
      </c>
      <c r="G62" s="61">
        <f t="shared" si="43"/>
        <v>3340000</v>
      </c>
      <c r="H62" s="60">
        <f t="shared" si="44"/>
        <v>835000</v>
      </c>
      <c r="I62" s="30"/>
      <c r="J62" s="27"/>
      <c r="K62" s="30"/>
      <c r="L62" s="27"/>
      <c r="M62" s="60"/>
      <c r="N62" s="60"/>
      <c r="O62" s="16"/>
      <c r="P62" s="16"/>
      <c r="Q62" s="16"/>
      <c r="R62" s="16"/>
      <c r="S62" s="60">
        <f>J62+L62+N62+P62+R62</f>
        <v>0</v>
      </c>
      <c r="T62" s="60">
        <v>0</v>
      </c>
      <c r="U62" s="60">
        <f>+S62-T62</f>
        <v>0</v>
      </c>
      <c r="V62" s="60">
        <f t="shared" ref="V62" si="46">S62-T62-U62</f>
        <v>0</v>
      </c>
      <c r="W62" s="60"/>
    </row>
    <row r="63" spans="1:23">
      <c r="A63" s="58">
        <f t="shared" si="4"/>
        <v>58</v>
      </c>
      <c r="B63" s="59">
        <f t="shared" si="45"/>
        <v>158</v>
      </c>
      <c r="C63" s="59" t="str">
        <f>VLOOKUP(B63,'[1]list-flat-report_SOVIII.2021-Ju'!$C$3:$G$116,5,0)</f>
        <v>Modi Housing Pvt Ltd.</v>
      </c>
      <c r="D63" s="60">
        <v>9800000</v>
      </c>
      <c r="E63" s="60">
        <f t="shared" si="42"/>
        <v>3920000</v>
      </c>
      <c r="F63" s="60">
        <v>200000</v>
      </c>
      <c r="G63" s="61">
        <f t="shared" si="43"/>
        <v>3720000</v>
      </c>
      <c r="H63" s="60">
        <f t="shared" si="44"/>
        <v>930000</v>
      </c>
      <c r="I63" s="30"/>
      <c r="J63" s="69"/>
      <c r="K63" s="30"/>
      <c r="L63" s="27"/>
      <c r="M63" s="60"/>
      <c r="N63" s="60"/>
      <c r="O63" s="16"/>
      <c r="P63" s="16"/>
      <c r="Q63" s="16"/>
      <c r="R63" s="16"/>
      <c r="S63" s="60"/>
      <c r="T63" s="60"/>
      <c r="U63" s="60"/>
      <c r="V63" s="60"/>
      <c r="W63" s="60"/>
    </row>
    <row r="64" spans="1:23">
      <c r="A64" s="59">
        <f t="shared" si="4"/>
        <v>59</v>
      </c>
      <c r="B64" s="59">
        <f t="shared" si="45"/>
        <v>159</v>
      </c>
      <c r="C64" s="60" t="str">
        <f>VLOOKUP(B64,'[1]list-flat-report_SOVIII.2021-Ju'!$C$3:$G$116,5,0)</f>
        <v>Modi Housing Pvt Ltd.</v>
      </c>
      <c r="D64" s="60">
        <v>8600000</v>
      </c>
      <c r="E64" s="60">
        <f t="shared" si="42"/>
        <v>3440000</v>
      </c>
      <c r="F64" s="61">
        <v>200000</v>
      </c>
      <c r="G64" s="60">
        <f t="shared" si="43"/>
        <v>3240000</v>
      </c>
      <c r="H64" s="60">
        <f t="shared" si="44"/>
        <v>810000</v>
      </c>
      <c r="I64" s="30"/>
      <c r="J64" s="69"/>
      <c r="K64" s="30"/>
      <c r="L64" s="27"/>
      <c r="M64" s="60"/>
      <c r="N64" s="60"/>
      <c r="O64" s="16"/>
      <c r="P64" s="16"/>
      <c r="Q64" s="16"/>
      <c r="R64" s="16"/>
      <c r="S64" s="60"/>
      <c r="T64" s="60"/>
      <c r="U64" s="60"/>
      <c r="V64" s="60"/>
      <c r="W64" s="60"/>
    </row>
    <row r="65" spans="1:23">
      <c r="A65" s="59">
        <f t="shared" si="4"/>
        <v>60</v>
      </c>
      <c r="B65" s="59">
        <f t="shared" si="45"/>
        <v>160</v>
      </c>
      <c r="C65" s="60" t="str">
        <f>VLOOKUP(B65,'[1]list-flat-report_SOVIII.2021-Ju'!$C$3:$G$116,5,0)</f>
        <v>Modi Housing Pvt Ltd.</v>
      </c>
      <c r="D65" s="60">
        <v>9725000</v>
      </c>
      <c r="E65" s="60">
        <f t="shared" si="42"/>
        <v>3890000</v>
      </c>
      <c r="F65" s="61">
        <v>200000</v>
      </c>
      <c r="G65" s="60">
        <f t="shared" si="43"/>
        <v>3690000</v>
      </c>
      <c r="H65" s="60">
        <f t="shared" si="44"/>
        <v>922500</v>
      </c>
      <c r="I65" s="30"/>
      <c r="J65" s="69"/>
      <c r="K65" s="30"/>
      <c r="L65" s="27"/>
      <c r="M65" s="60"/>
      <c r="N65" s="60"/>
      <c r="O65" s="16"/>
      <c r="P65" s="16"/>
      <c r="Q65" s="16"/>
      <c r="R65" s="16"/>
      <c r="S65" s="60"/>
      <c r="T65" s="60"/>
      <c r="U65" s="60"/>
      <c r="V65" s="60"/>
      <c r="W65" s="60"/>
    </row>
    <row r="66" spans="1:23">
      <c r="A66" s="3">
        <f t="shared" si="4"/>
        <v>61</v>
      </c>
      <c r="B66" s="3">
        <f t="shared" si="45"/>
        <v>161</v>
      </c>
      <c r="C66" s="16" t="str">
        <f>VLOOKUP(B66,'[1]list-flat-report_SOVIII.2021-Ju'!$C$3:$G$116,5,0)</f>
        <v>Modi Housing Pvt Ltd.</v>
      </c>
      <c r="D66" s="16">
        <v>0</v>
      </c>
      <c r="E66" s="16"/>
      <c r="F66" s="46"/>
      <c r="G66" s="16"/>
      <c r="H66" s="16"/>
      <c r="I66" s="30"/>
      <c r="J66" s="73"/>
      <c r="K66" s="30"/>
      <c r="L66" s="27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</row>
    <row r="67" spans="1:23">
      <c r="A67" s="59">
        <f t="shared" si="4"/>
        <v>62</v>
      </c>
      <c r="B67" s="59">
        <f t="shared" si="45"/>
        <v>162</v>
      </c>
      <c r="C67" s="60" t="str">
        <f>VLOOKUP(B67,'[1]list-flat-report_SOVIII.2021-Ju'!$C$3:$G$116,5,0)</f>
        <v>Modi Housing Pvt Ltd.</v>
      </c>
      <c r="D67" s="60">
        <v>7850000</v>
      </c>
      <c r="E67" s="60">
        <f>D67*40%</f>
        <v>3140000</v>
      </c>
      <c r="F67" s="61">
        <v>200000</v>
      </c>
      <c r="G67" s="60">
        <f>E67-F67</f>
        <v>2940000</v>
      </c>
      <c r="H67" s="60">
        <f>G67/4</f>
        <v>735000</v>
      </c>
      <c r="I67" s="30"/>
      <c r="J67" s="69"/>
      <c r="K67" s="30"/>
      <c r="L67" s="27"/>
      <c r="M67" s="60"/>
      <c r="N67" s="60"/>
      <c r="O67" s="16"/>
      <c r="P67" s="16"/>
      <c r="Q67" s="16"/>
      <c r="R67" s="16"/>
      <c r="S67" s="60"/>
      <c r="T67" s="60"/>
      <c r="U67" s="60"/>
      <c r="V67" s="60"/>
      <c r="W67" s="60"/>
    </row>
    <row r="68" spans="1:23">
      <c r="A68" s="59">
        <f t="shared" si="4"/>
        <v>63</v>
      </c>
      <c r="B68" s="59">
        <f t="shared" si="45"/>
        <v>163</v>
      </c>
      <c r="C68" s="60" t="str">
        <f>VLOOKUP(B68,'[1]list-flat-report_SOVIII.2021-Ju'!$C$3:$G$116,5,0)</f>
        <v>Modi Housing Pvt Ltd.</v>
      </c>
      <c r="D68" s="60">
        <v>9700000</v>
      </c>
      <c r="E68" s="60">
        <f>D68*40%</f>
        <v>3880000</v>
      </c>
      <c r="F68" s="61">
        <v>200000</v>
      </c>
      <c r="G68" s="60">
        <f>E68-F68</f>
        <v>3680000</v>
      </c>
      <c r="H68" s="60">
        <f>G68/4</f>
        <v>920000</v>
      </c>
      <c r="I68" s="30">
        <v>44377</v>
      </c>
      <c r="J68" s="69">
        <f>H68</f>
        <v>920000</v>
      </c>
      <c r="K68" s="30"/>
      <c r="L68" s="27"/>
      <c r="M68" s="60"/>
      <c r="N68" s="60"/>
      <c r="O68" s="16"/>
      <c r="P68" s="16"/>
      <c r="Q68" s="16"/>
      <c r="R68" s="16"/>
      <c r="S68" s="60">
        <f>J68+L68+N68+P68+R68</f>
        <v>920000</v>
      </c>
      <c r="T68" s="60">
        <v>920000</v>
      </c>
      <c r="U68" s="60">
        <f>+S68-T68</f>
        <v>0</v>
      </c>
      <c r="V68" s="60">
        <f>U68*9%</f>
        <v>0</v>
      </c>
      <c r="W68" s="60">
        <f>U68*9%</f>
        <v>0</v>
      </c>
    </row>
    <row r="69" spans="1:23">
      <c r="A69" s="3">
        <f t="shared" si="4"/>
        <v>64</v>
      </c>
      <c r="B69" s="3">
        <f t="shared" si="45"/>
        <v>164</v>
      </c>
      <c r="C69" s="16" t="str">
        <f>VLOOKUP(B69,'[1]list-flat-report_SOVIII.2021-Ju'!$C$3:$G$116,5,0)</f>
        <v>Modi Housing Pvt Ltd.</v>
      </c>
      <c r="D69" s="16">
        <v>0</v>
      </c>
      <c r="E69" s="16"/>
      <c r="F69" s="46"/>
      <c r="G69" s="16"/>
      <c r="H69" s="16"/>
      <c r="I69" s="30"/>
      <c r="J69" s="73"/>
      <c r="K69" s="30"/>
      <c r="L69" s="27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</row>
    <row r="70" spans="1:23">
      <c r="A70" s="59">
        <f t="shared" si="4"/>
        <v>65</v>
      </c>
      <c r="B70" s="59">
        <f t="shared" si="45"/>
        <v>165</v>
      </c>
      <c r="C70" s="60" t="str">
        <f>VLOOKUP(B70,'[1]list-flat-report_SOVIII.2021-Ju'!$C$3:$G$116,5,0)</f>
        <v>Modi Housing Pvt Ltd.</v>
      </c>
      <c r="D70" s="60">
        <v>5000000</v>
      </c>
      <c r="E70" s="60">
        <f>D70*40%</f>
        <v>2000000</v>
      </c>
      <c r="F70" s="61">
        <v>200000</v>
      </c>
      <c r="G70" s="60">
        <f>E70-F70</f>
        <v>1800000</v>
      </c>
      <c r="H70" s="60">
        <f>G70/4</f>
        <v>450000</v>
      </c>
      <c r="I70" s="30">
        <v>44394</v>
      </c>
      <c r="J70" s="69">
        <f>H70</f>
        <v>450000</v>
      </c>
      <c r="K70" s="30"/>
      <c r="L70" s="27"/>
      <c r="M70" s="60"/>
      <c r="N70" s="60"/>
      <c r="O70" s="16"/>
      <c r="P70" s="16"/>
      <c r="Q70" s="16"/>
      <c r="R70" s="16"/>
      <c r="S70" s="60">
        <f>J70+L70+N70+P70+R70</f>
        <v>450000</v>
      </c>
      <c r="T70" s="60">
        <v>450000</v>
      </c>
      <c r="U70" s="60">
        <f>+S70-T70</f>
        <v>0</v>
      </c>
      <c r="V70" s="60">
        <f>U70*9%</f>
        <v>0</v>
      </c>
      <c r="W70" s="60">
        <f>U70*9%</f>
        <v>0</v>
      </c>
    </row>
    <row r="71" spans="1:23">
      <c r="A71" s="3">
        <f t="shared" ref="A71:A119" si="47">+A70+1</f>
        <v>66</v>
      </c>
      <c r="B71" s="3">
        <f t="shared" si="45"/>
        <v>166</v>
      </c>
      <c r="C71" s="16" t="str">
        <f>VLOOKUP(B71,'[1]list-flat-report_SOVIII.2021-Ju'!$C$3:$G$116,5,0)</f>
        <v>Modi Housing Pvt Ltd.</v>
      </c>
      <c r="D71" s="16">
        <v>0</v>
      </c>
      <c r="E71" s="16"/>
      <c r="F71" s="46"/>
      <c r="G71" s="16"/>
      <c r="H71" s="16"/>
      <c r="I71" s="30"/>
      <c r="J71" s="73"/>
      <c r="K71" s="30"/>
      <c r="L71" s="27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</row>
    <row r="72" spans="1:23">
      <c r="A72" s="3">
        <f t="shared" si="47"/>
        <v>67</v>
      </c>
      <c r="B72" s="3">
        <f t="shared" si="45"/>
        <v>167</v>
      </c>
      <c r="C72" s="16" t="str">
        <f>VLOOKUP(B72,'[1]list-flat-report_SOVIII.2021-Ju'!$C$3:$G$116,5,0)</f>
        <v>Modi Housing Pvt Ltd.</v>
      </c>
      <c r="D72" s="16">
        <v>0</v>
      </c>
      <c r="E72" s="16"/>
      <c r="F72" s="46"/>
      <c r="G72" s="16"/>
      <c r="H72" s="16"/>
      <c r="I72" s="30"/>
      <c r="J72" s="73"/>
      <c r="K72" s="30"/>
      <c r="L72" s="27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1:23">
      <c r="A73" s="3">
        <f t="shared" si="47"/>
        <v>68</v>
      </c>
      <c r="B73" s="3">
        <f t="shared" si="45"/>
        <v>168</v>
      </c>
      <c r="C73" s="16" t="str">
        <f>VLOOKUP(B73,'[1]list-flat-report_SOVIII.2021-Ju'!$C$3:$G$116,5,0)</f>
        <v>Modi Housing Pvt Ltd.</v>
      </c>
      <c r="D73" s="16">
        <v>0</v>
      </c>
      <c r="E73" s="16"/>
      <c r="F73" s="46"/>
      <c r="G73" s="16"/>
      <c r="H73" s="16"/>
      <c r="I73" s="30"/>
      <c r="J73" s="73"/>
      <c r="K73" s="30"/>
      <c r="L73" s="27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4" spans="1:8">
      <c r="A74" s="3">
        <f t="shared" si="47"/>
        <v>69</v>
      </c>
      <c r="B74" s="3">
        <f t="shared" si="45"/>
        <v>169</v>
      </c>
      <c r="C74" s="16" t="str">
        <f>VLOOKUP(B74,'[1]list-flat-report_SOVIII.2021-Ju'!$C$3:$G$116,5,0)</f>
        <v>Modi Housing Pvt Ltd.</v>
      </c>
      <c r="D74" s="16">
        <v>0</v>
      </c>
      <c r="E74" s="16"/>
      <c r="F74" s="46"/>
      <c r="G74" s="16"/>
      <c r="H74" s="16"/>
    </row>
    <row r="75" customFormat="1" ht="15" spans="1:23">
      <c r="A75" s="3">
        <f t="shared" si="47"/>
        <v>70</v>
      </c>
      <c r="B75" s="3">
        <f t="shared" si="45"/>
        <v>170</v>
      </c>
      <c r="C75" s="16" t="str">
        <f>VLOOKUP(B75,'[1]list-flat-report_SOVIII.2021-Ju'!$C$3:$G$116,5,0)</f>
        <v>Modi Housing Pvt Ltd.</v>
      </c>
      <c r="D75" s="16">
        <v>0</v>
      </c>
      <c r="E75" s="16"/>
      <c r="F75" s="46"/>
      <c r="G75" s="16"/>
      <c r="H75" s="16"/>
      <c r="I75" s="30"/>
      <c r="J75" s="27"/>
      <c r="K75" s="30"/>
      <c r="L75" s="27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</row>
    <row r="76" customFormat="1" ht="15" spans="1:23">
      <c r="A76" s="3">
        <f t="shared" si="47"/>
        <v>71</v>
      </c>
      <c r="B76" s="3">
        <f t="shared" si="45"/>
        <v>171</v>
      </c>
      <c r="C76" s="16" t="str">
        <f>VLOOKUP(B76,'[1]list-flat-report_SOVIII.2021-Ju'!$C$3:$G$116,5,0)</f>
        <v>Modi Housing Pvt Ltd.</v>
      </c>
      <c r="D76" s="16">
        <v>0</v>
      </c>
      <c r="E76" s="16"/>
      <c r="F76" s="46"/>
      <c r="G76" s="16"/>
      <c r="H76" s="16"/>
      <c r="I76" s="30"/>
      <c r="J76" s="27"/>
      <c r="K76" s="30"/>
      <c r="L76" s="27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</row>
    <row r="77" customFormat="1" ht="15" spans="1:23">
      <c r="A77" s="3">
        <f t="shared" si="47"/>
        <v>72</v>
      </c>
      <c r="B77" s="3">
        <f t="shared" si="45"/>
        <v>172</v>
      </c>
      <c r="C77" s="16" t="str">
        <f>VLOOKUP(B77,'[1]list-flat-report_SOVIII.2021-Ju'!$C$3:$G$116,5,0)</f>
        <v>Modi Housing Pvt Ltd.</v>
      </c>
      <c r="D77" s="16">
        <v>0</v>
      </c>
      <c r="E77" s="16"/>
      <c r="F77" s="46"/>
      <c r="G77" s="16"/>
      <c r="H77" s="16"/>
      <c r="I77" s="30"/>
      <c r="J77" s="27"/>
      <c r="K77" s="30"/>
      <c r="L77" s="27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</row>
    <row r="78" customFormat="1" ht="15" spans="1:23">
      <c r="A78" s="3">
        <f t="shared" si="47"/>
        <v>73</v>
      </c>
      <c r="B78" s="3">
        <f t="shared" si="45"/>
        <v>173</v>
      </c>
      <c r="C78" s="16" t="str">
        <f>VLOOKUP(B78,'[1]list-flat-report_SOVIII.2021-Ju'!$C$3:$G$116,5,0)</f>
        <v>Modi Housing Pvt Ltd.</v>
      </c>
      <c r="D78" s="16">
        <v>0</v>
      </c>
      <c r="E78" s="16"/>
      <c r="F78" s="46"/>
      <c r="G78" s="16"/>
      <c r="H78" s="16"/>
      <c r="I78" s="30"/>
      <c r="J78" s="27"/>
      <c r="K78" s="30"/>
      <c r="L78" s="27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</row>
    <row r="79" customFormat="1" ht="15" spans="1:23">
      <c r="A79" s="59">
        <f t="shared" si="47"/>
        <v>74</v>
      </c>
      <c r="B79" s="59">
        <f t="shared" si="45"/>
        <v>174</v>
      </c>
      <c r="C79" s="60" t="str">
        <f>VLOOKUP(B79,'[1]list-flat-report_SOVIII.2021-Ju'!$C$3:$G$116,5,0)</f>
        <v>Modi Housing Pvt Ltd.</v>
      </c>
      <c r="D79" s="60">
        <v>10000000</v>
      </c>
      <c r="E79" s="60">
        <f>D79*40%</f>
        <v>4000000</v>
      </c>
      <c r="F79" s="61">
        <v>200000</v>
      </c>
      <c r="G79" s="60">
        <f>E79-F79</f>
        <v>3800000</v>
      </c>
      <c r="H79" s="60">
        <f>G79/4</f>
        <v>950000</v>
      </c>
      <c r="I79" s="30"/>
      <c r="J79" s="27"/>
      <c r="K79" s="30"/>
      <c r="L79" s="27"/>
      <c r="M79" s="60"/>
      <c r="N79" s="60"/>
      <c r="O79" s="16"/>
      <c r="P79" s="16"/>
      <c r="Q79" s="16"/>
      <c r="R79" s="16"/>
      <c r="S79" s="60"/>
      <c r="T79" s="60"/>
      <c r="U79" s="60"/>
      <c r="V79" s="60"/>
      <c r="W79" s="60"/>
    </row>
    <row r="80" customFormat="1" ht="15" spans="1:23">
      <c r="A80" s="3">
        <f t="shared" si="47"/>
        <v>75</v>
      </c>
      <c r="B80" s="3">
        <f t="shared" si="45"/>
        <v>175</v>
      </c>
      <c r="C80" s="16" t="str">
        <f>VLOOKUP(B80,'[1]list-flat-report_SOVIII.2021-Ju'!$C$3:$G$116,5,0)</f>
        <v>Modi Housing Pvt Ltd.</v>
      </c>
      <c r="D80" s="16">
        <v>0</v>
      </c>
      <c r="E80" s="16"/>
      <c r="F80" s="46"/>
      <c r="G80" s="16"/>
      <c r="H80" s="16"/>
      <c r="I80" s="30"/>
      <c r="J80" s="27"/>
      <c r="K80" s="30"/>
      <c r="L80" s="27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</row>
    <row r="81" customFormat="1" ht="15" spans="1:23">
      <c r="A81" s="3">
        <f t="shared" si="47"/>
        <v>76</v>
      </c>
      <c r="B81" s="3">
        <f t="shared" si="45"/>
        <v>176</v>
      </c>
      <c r="C81" s="16" t="str">
        <f>VLOOKUP(B81,'[1]list-flat-report_SOVIII.2021-Ju'!$C$3:$G$116,5,0)</f>
        <v>Modi Housing Pvt Ltd.</v>
      </c>
      <c r="D81" s="16">
        <v>0</v>
      </c>
      <c r="E81" s="16"/>
      <c r="F81" s="46"/>
      <c r="G81" s="16"/>
      <c r="H81" s="16"/>
      <c r="I81" s="30"/>
      <c r="J81" s="27"/>
      <c r="K81" s="30"/>
      <c r="L81" s="27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</row>
    <row r="82" customFormat="1" ht="15" spans="1:23">
      <c r="A82" s="3">
        <f t="shared" si="47"/>
        <v>77</v>
      </c>
      <c r="B82" s="3">
        <f t="shared" si="45"/>
        <v>177</v>
      </c>
      <c r="C82" s="16" t="str">
        <f>VLOOKUP(B82,'[1]list-flat-report_SOVIII.2021-Ju'!$C$3:$G$116,5,0)</f>
        <v>Modi Housing Pvt Ltd.</v>
      </c>
      <c r="D82" s="16">
        <v>0</v>
      </c>
      <c r="E82" s="16"/>
      <c r="F82" s="46"/>
      <c r="G82" s="16"/>
      <c r="H82" s="16"/>
      <c r="I82" s="30"/>
      <c r="J82" s="27"/>
      <c r="K82" s="30"/>
      <c r="L82" s="27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</row>
    <row r="83" customFormat="1" ht="15" spans="1:23">
      <c r="A83" s="3">
        <f t="shared" si="47"/>
        <v>78</v>
      </c>
      <c r="B83" s="3">
        <f t="shared" si="45"/>
        <v>178</v>
      </c>
      <c r="C83" s="16" t="str">
        <f>VLOOKUP(B83,'[1]list-flat-report_SOVIII.2021-Ju'!$C$3:$G$116,5,0)</f>
        <v>Modi Housing Pvt Ltd.</v>
      </c>
      <c r="D83" s="16">
        <v>0</v>
      </c>
      <c r="E83" s="16"/>
      <c r="F83" s="46"/>
      <c r="G83" s="16"/>
      <c r="H83" s="16"/>
      <c r="I83" s="30"/>
      <c r="J83" s="27"/>
      <c r="K83" s="30"/>
      <c r="L83" s="27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</row>
    <row r="84" customFormat="1" ht="15" spans="1:23">
      <c r="A84" s="59">
        <f t="shared" si="47"/>
        <v>79</v>
      </c>
      <c r="B84" s="59">
        <f t="shared" si="45"/>
        <v>179</v>
      </c>
      <c r="C84" s="60" t="str">
        <f>VLOOKUP(B84,'[1]list-flat-report_SOVIII.2021-Ju'!$C$3:$G$116,5,0)</f>
        <v>Modi Housing Pvt Ltd.</v>
      </c>
      <c r="D84" s="60">
        <v>9800000</v>
      </c>
      <c r="E84" s="60">
        <f t="shared" ref="E84:E88" si="48">D84*40%</f>
        <v>3920000</v>
      </c>
      <c r="F84" s="61">
        <v>200000</v>
      </c>
      <c r="G84" s="60">
        <f t="shared" ref="G84:G88" si="49">E84-F84</f>
        <v>3720000</v>
      </c>
      <c r="H84" s="60">
        <f t="shared" ref="H84:H88" si="50">G84/4</f>
        <v>930000</v>
      </c>
      <c r="I84" s="30"/>
      <c r="J84" s="27"/>
      <c r="K84" s="30"/>
      <c r="L84" s="27"/>
      <c r="M84" s="60"/>
      <c r="N84" s="60"/>
      <c r="O84" s="16"/>
      <c r="P84" s="16"/>
      <c r="Q84" s="16"/>
      <c r="R84" s="16"/>
      <c r="S84" s="60"/>
      <c r="T84" s="60"/>
      <c r="U84" s="60"/>
      <c r="V84" s="60"/>
      <c r="W84" s="60"/>
    </row>
    <row r="85" customFormat="1" ht="15" spans="1:23">
      <c r="A85" s="58">
        <f t="shared" si="47"/>
        <v>80</v>
      </c>
      <c r="B85" s="59">
        <f t="shared" si="45"/>
        <v>180</v>
      </c>
      <c r="C85" s="59" t="str">
        <f>VLOOKUP(B85,'[1]list-flat-report_SOVIII.2021-Ju'!$C$3:$G$116,5,0)</f>
        <v>Modi Housing Pvt Ltd.</v>
      </c>
      <c r="D85" s="60">
        <v>6948000</v>
      </c>
      <c r="E85" s="60">
        <f t="shared" si="48"/>
        <v>2779200</v>
      </c>
      <c r="F85" s="60">
        <v>200000</v>
      </c>
      <c r="G85" s="61">
        <f t="shared" si="49"/>
        <v>2579200</v>
      </c>
      <c r="H85" s="60">
        <f t="shared" si="50"/>
        <v>644800</v>
      </c>
      <c r="I85" s="30">
        <v>44385</v>
      </c>
      <c r="J85" s="69">
        <f>H85</f>
        <v>644800</v>
      </c>
      <c r="K85" s="30"/>
      <c r="L85" s="27"/>
      <c r="M85" s="60"/>
      <c r="N85" s="60"/>
      <c r="O85" s="16"/>
      <c r="P85" s="16"/>
      <c r="Q85" s="16"/>
      <c r="R85" s="16"/>
      <c r="S85" s="60">
        <f t="shared" ref="S85:S88" si="51">J85+L85+N85+P85+R85</f>
        <v>644800</v>
      </c>
      <c r="T85" s="60">
        <v>644800</v>
      </c>
      <c r="U85" s="60">
        <f>+S85-T85</f>
        <v>0</v>
      </c>
      <c r="V85" s="60">
        <f>U85*9%</f>
        <v>0</v>
      </c>
      <c r="W85" s="60">
        <f>U85*9%</f>
        <v>0</v>
      </c>
    </row>
    <row r="86" customFormat="1" ht="15" spans="1:23">
      <c r="A86" s="58">
        <f t="shared" si="47"/>
        <v>81</v>
      </c>
      <c r="B86" s="59">
        <f t="shared" si="45"/>
        <v>181</v>
      </c>
      <c r="C86" s="59" t="str">
        <f>VLOOKUP(B86,'[1]list-flat-report_SOVIII.2021-Ju'!$C$3:$G$116,5,0)</f>
        <v>Modi Housing Pvt Ltd.</v>
      </c>
      <c r="D86" s="60">
        <v>9600000</v>
      </c>
      <c r="E86" s="60">
        <f t="shared" si="48"/>
        <v>3840000</v>
      </c>
      <c r="F86" s="60">
        <v>200000</v>
      </c>
      <c r="G86" s="61">
        <f t="shared" si="49"/>
        <v>3640000</v>
      </c>
      <c r="H86" s="60">
        <f t="shared" si="50"/>
        <v>910000</v>
      </c>
      <c r="I86" s="30">
        <v>44380</v>
      </c>
      <c r="J86" s="69">
        <f>H86</f>
        <v>910000</v>
      </c>
      <c r="K86" s="30"/>
      <c r="L86" s="27"/>
      <c r="M86" s="60"/>
      <c r="N86" s="60"/>
      <c r="O86" s="16"/>
      <c r="P86" s="16"/>
      <c r="Q86" s="16"/>
      <c r="R86" s="16"/>
      <c r="S86" s="60">
        <f t="shared" si="51"/>
        <v>910000</v>
      </c>
      <c r="T86" s="60">
        <v>910000</v>
      </c>
      <c r="U86" s="60">
        <f>+S86-T86</f>
        <v>0</v>
      </c>
      <c r="V86" s="60">
        <f>U86*9%</f>
        <v>0</v>
      </c>
      <c r="W86" s="60">
        <f>U86*9%</f>
        <v>0</v>
      </c>
    </row>
    <row r="87" customFormat="1" ht="15" spans="1:23">
      <c r="A87" s="58">
        <f t="shared" si="47"/>
        <v>82</v>
      </c>
      <c r="B87" s="59">
        <f t="shared" si="45"/>
        <v>182</v>
      </c>
      <c r="C87" s="59" t="str">
        <f>VLOOKUP(B87,'[1]list-flat-report_SOVIII.2021-Ju'!$C$3:$G$116,5,0)</f>
        <v>Modi Housing Pvt Ltd.</v>
      </c>
      <c r="D87" s="60">
        <v>9950000</v>
      </c>
      <c r="E87" s="60">
        <f t="shared" si="48"/>
        <v>3980000</v>
      </c>
      <c r="F87" s="60">
        <v>200000</v>
      </c>
      <c r="G87" s="61">
        <f t="shared" si="49"/>
        <v>3780000</v>
      </c>
      <c r="H87" s="60">
        <f t="shared" si="50"/>
        <v>945000</v>
      </c>
      <c r="I87" s="30">
        <v>44377</v>
      </c>
      <c r="J87" s="27">
        <f>H87</f>
        <v>945000</v>
      </c>
      <c r="K87" s="30"/>
      <c r="L87" s="27"/>
      <c r="M87" s="60"/>
      <c r="N87" s="60"/>
      <c r="O87" s="16"/>
      <c r="P87" s="16"/>
      <c r="Q87" s="16"/>
      <c r="R87" s="16"/>
      <c r="S87" s="60">
        <f t="shared" si="51"/>
        <v>945000</v>
      </c>
      <c r="T87" s="60">
        <v>945000</v>
      </c>
      <c r="U87" s="60">
        <f>+S87-T87</f>
        <v>0</v>
      </c>
      <c r="V87" s="60">
        <f>U87*9%</f>
        <v>0</v>
      </c>
      <c r="W87" s="60">
        <f>U87*9%</f>
        <v>0</v>
      </c>
    </row>
    <row r="88" customFormat="1" ht="15" spans="1:23">
      <c r="A88" s="58">
        <f t="shared" si="47"/>
        <v>83</v>
      </c>
      <c r="B88" s="59">
        <f t="shared" si="45"/>
        <v>183</v>
      </c>
      <c r="C88" s="59" t="str">
        <f>VLOOKUP(B88,'[1]list-flat-report_SOVIII.2021-Ju'!$C$3:$G$116,5,0)</f>
        <v>Modi Housing Pvt Ltd.</v>
      </c>
      <c r="D88" s="60">
        <v>10000000</v>
      </c>
      <c r="E88" s="60">
        <f t="shared" si="48"/>
        <v>4000000</v>
      </c>
      <c r="F88" s="60">
        <v>200000</v>
      </c>
      <c r="G88" s="61">
        <f t="shared" si="49"/>
        <v>3800000</v>
      </c>
      <c r="H88" s="60">
        <f t="shared" si="50"/>
        <v>950000</v>
      </c>
      <c r="I88" s="30">
        <v>44373</v>
      </c>
      <c r="J88" s="27">
        <f>H88</f>
        <v>950000</v>
      </c>
      <c r="K88" s="30"/>
      <c r="L88" s="27"/>
      <c r="M88" s="60"/>
      <c r="N88" s="60"/>
      <c r="O88" s="16"/>
      <c r="P88" s="16"/>
      <c r="Q88" s="16"/>
      <c r="R88" s="16"/>
      <c r="S88" s="60">
        <f t="shared" si="51"/>
        <v>950000</v>
      </c>
      <c r="T88" s="60">
        <v>950000</v>
      </c>
      <c r="U88" s="60">
        <f>+S88-T88</f>
        <v>0</v>
      </c>
      <c r="V88" s="60">
        <f>U88*9%</f>
        <v>0</v>
      </c>
      <c r="W88" s="60">
        <f>U88*9%</f>
        <v>0</v>
      </c>
    </row>
    <row r="89" customFormat="1" ht="15" spans="1:23">
      <c r="A89" s="15">
        <f t="shared" si="47"/>
        <v>84</v>
      </c>
      <c r="B89" s="3">
        <f t="shared" si="45"/>
        <v>184</v>
      </c>
      <c r="C89" s="3" t="str">
        <f>VLOOKUP(B89,'[1]list-flat-report_SOVIII.2021-Ju'!$C$3:$G$116,5,0)</f>
        <v>Modi Housing Pvt Ltd.</v>
      </c>
      <c r="D89" s="16">
        <v>0</v>
      </c>
      <c r="E89" s="16"/>
      <c r="F89" s="16"/>
      <c r="G89" s="46"/>
      <c r="H89" s="16"/>
      <c r="I89" s="30"/>
      <c r="J89" s="27"/>
      <c r="K89" s="30"/>
      <c r="L89" s="27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</row>
    <row r="90" customFormat="1" ht="15" spans="1:23">
      <c r="A90" s="58">
        <f t="shared" si="47"/>
        <v>85</v>
      </c>
      <c r="B90" s="59">
        <f t="shared" si="45"/>
        <v>185</v>
      </c>
      <c r="C90" s="59" t="str">
        <f>VLOOKUP(B90,'[1]list-flat-report_SOVIII.2021-Ju'!$C$3:$G$116,5,0)</f>
        <v>Modi Housing Pvt Ltd.</v>
      </c>
      <c r="D90" s="60">
        <v>10000000</v>
      </c>
      <c r="E90" s="60">
        <f>D90*40%</f>
        <v>4000000</v>
      </c>
      <c r="F90" s="60">
        <v>200000</v>
      </c>
      <c r="G90" s="61">
        <f>E90-F90</f>
        <v>3800000</v>
      </c>
      <c r="H90" s="60">
        <f>G90/4</f>
        <v>950000</v>
      </c>
      <c r="I90" s="30"/>
      <c r="J90" s="27"/>
      <c r="K90" s="30"/>
      <c r="L90" s="27"/>
      <c r="M90" s="60"/>
      <c r="N90" s="60"/>
      <c r="O90" s="16"/>
      <c r="P90" s="16"/>
      <c r="Q90" s="16"/>
      <c r="R90" s="16"/>
      <c r="S90" s="60"/>
      <c r="T90" s="60"/>
      <c r="U90" s="60"/>
      <c r="V90" s="60"/>
      <c r="W90" s="60"/>
    </row>
    <row r="91" customFormat="1" ht="15" spans="1:23">
      <c r="A91" s="15">
        <f t="shared" si="47"/>
        <v>86</v>
      </c>
      <c r="B91" s="3">
        <f t="shared" si="45"/>
        <v>186</v>
      </c>
      <c r="C91" s="3" t="str">
        <f>VLOOKUP(B91,'[1]list-flat-report_SOVIII.2021-Ju'!$C$3:$G$116,5,0)</f>
        <v>Modi Housing Pvt Ltd.</v>
      </c>
      <c r="D91" s="16">
        <v>0</v>
      </c>
      <c r="E91" s="16"/>
      <c r="F91" s="16"/>
      <c r="G91" s="46"/>
      <c r="H91" s="16"/>
      <c r="I91" s="30"/>
      <c r="J91" s="27"/>
      <c r="K91" s="30"/>
      <c r="L91" s="27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</row>
    <row r="92" customFormat="1" ht="15" spans="1:23">
      <c r="A92" s="15">
        <f t="shared" si="47"/>
        <v>87</v>
      </c>
      <c r="B92" s="3">
        <f t="shared" si="45"/>
        <v>187</v>
      </c>
      <c r="C92" s="3" t="str">
        <f>VLOOKUP(B92,'[1]list-flat-report_SOVIII.2021-Ju'!$C$3:$G$116,5,0)</f>
        <v>Modi Housing Pvt Ltd.</v>
      </c>
      <c r="D92" s="16">
        <v>0</v>
      </c>
      <c r="E92" s="16"/>
      <c r="F92" s="16"/>
      <c r="G92" s="46"/>
      <c r="H92" s="16"/>
      <c r="I92" s="30"/>
      <c r="J92" s="27"/>
      <c r="K92" s="30"/>
      <c r="L92" s="27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</row>
    <row r="93" customFormat="1" ht="15" spans="1:23">
      <c r="A93" s="15">
        <f t="shared" si="47"/>
        <v>88</v>
      </c>
      <c r="B93" s="3">
        <f t="shared" si="45"/>
        <v>188</v>
      </c>
      <c r="C93" s="3" t="str">
        <f>VLOOKUP(B93,'[1]list-flat-report_SOVIII.2021-Ju'!$C$3:$G$116,5,0)</f>
        <v>Modi Housing Pvt Ltd.</v>
      </c>
      <c r="D93" s="16">
        <v>0</v>
      </c>
      <c r="E93" s="16"/>
      <c r="F93" s="16"/>
      <c r="G93" s="46"/>
      <c r="H93" s="16"/>
      <c r="I93" s="30"/>
      <c r="J93" s="27"/>
      <c r="K93" s="30"/>
      <c r="L93" s="27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</row>
    <row r="94" customFormat="1" ht="15" spans="1:23">
      <c r="A94" s="15">
        <f t="shared" si="47"/>
        <v>89</v>
      </c>
      <c r="B94" s="3">
        <f t="shared" si="45"/>
        <v>189</v>
      </c>
      <c r="C94" s="3" t="str">
        <f>VLOOKUP(B94,'[1]list-flat-report_SOVIII.2021-Ju'!$C$3:$G$116,5,0)</f>
        <v>Modi Housing Pvt Ltd.</v>
      </c>
      <c r="D94" s="16">
        <v>0</v>
      </c>
      <c r="E94" s="16"/>
      <c r="F94" s="16"/>
      <c r="G94" s="46"/>
      <c r="H94" s="16"/>
      <c r="I94" s="30"/>
      <c r="J94" s="27"/>
      <c r="K94" s="30"/>
      <c r="L94" s="27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</row>
    <row r="95" customFormat="1" ht="15" spans="1:23">
      <c r="A95" s="15">
        <f t="shared" si="47"/>
        <v>90</v>
      </c>
      <c r="B95" s="3">
        <f t="shared" si="45"/>
        <v>190</v>
      </c>
      <c r="C95" s="3" t="str">
        <f>VLOOKUP(B95,'[1]list-flat-report_SOVIII.2021-Ju'!$C$3:$G$116,5,0)</f>
        <v>Modi Housing Pvt Ltd.</v>
      </c>
      <c r="D95" s="16">
        <v>0</v>
      </c>
      <c r="E95" s="16"/>
      <c r="F95" s="16"/>
      <c r="G95" s="46"/>
      <c r="H95" s="16"/>
      <c r="I95" s="30"/>
      <c r="J95" s="27"/>
      <c r="K95" s="30"/>
      <c r="L95" s="27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</row>
    <row r="96" customFormat="1" ht="15" spans="1:23">
      <c r="A96" s="15">
        <f t="shared" si="47"/>
        <v>91</v>
      </c>
      <c r="B96" s="3">
        <f t="shared" si="45"/>
        <v>191</v>
      </c>
      <c r="C96" s="3" t="str">
        <f>VLOOKUP(B96,'[1]list-flat-report_SOVIII.2021-Ju'!$C$3:$G$116,5,0)</f>
        <v>Modi Housing Pvt Ltd.</v>
      </c>
      <c r="D96" s="16">
        <v>0</v>
      </c>
      <c r="E96" s="16"/>
      <c r="F96" s="16"/>
      <c r="G96" s="46"/>
      <c r="H96" s="16"/>
      <c r="I96" s="30"/>
      <c r="J96" s="27"/>
      <c r="K96" s="30"/>
      <c r="L96" s="27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</row>
    <row r="97" customFormat="1" ht="15" spans="1:23">
      <c r="A97" s="15">
        <f t="shared" si="47"/>
        <v>92</v>
      </c>
      <c r="B97" s="3">
        <f t="shared" si="45"/>
        <v>192</v>
      </c>
      <c r="C97" s="3" t="str">
        <f>VLOOKUP(B97,'[1]list-flat-report_SOVIII.2021-Ju'!$C$3:$G$116,5,0)</f>
        <v>Modi Housing Pvt Ltd.</v>
      </c>
      <c r="D97" s="16">
        <v>0</v>
      </c>
      <c r="E97" s="16"/>
      <c r="F97" s="16"/>
      <c r="G97" s="46"/>
      <c r="H97" s="16"/>
      <c r="I97" s="30"/>
      <c r="J97" s="27"/>
      <c r="K97" s="30"/>
      <c r="L97" s="27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</row>
    <row r="98" customFormat="1" ht="15" spans="1:23">
      <c r="A98" s="15">
        <f t="shared" si="47"/>
        <v>93</v>
      </c>
      <c r="B98" s="3">
        <f t="shared" si="45"/>
        <v>193</v>
      </c>
      <c r="C98" s="3" t="str">
        <f>VLOOKUP(B98,'[1]list-flat-report_SOVIII.2021-Ju'!$C$3:$G$116,5,0)</f>
        <v>Modi Housing Pvt Ltd.</v>
      </c>
      <c r="D98" s="16">
        <v>0</v>
      </c>
      <c r="E98" s="16"/>
      <c r="F98" s="16"/>
      <c r="G98" s="46"/>
      <c r="H98" s="16"/>
      <c r="I98" s="30"/>
      <c r="J98" s="27"/>
      <c r="K98" s="30"/>
      <c r="L98" s="27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</row>
    <row r="99" customFormat="1" ht="15" spans="1:23">
      <c r="A99" s="15">
        <f t="shared" si="47"/>
        <v>94</v>
      </c>
      <c r="B99" s="3">
        <f t="shared" si="45"/>
        <v>194</v>
      </c>
      <c r="C99" s="3" t="str">
        <f>VLOOKUP(B99,'[1]list-flat-report_SOVIII.2021-Ju'!$C$3:$G$116,5,0)</f>
        <v>Modi Housing Pvt Ltd.</v>
      </c>
      <c r="D99" s="16">
        <v>0</v>
      </c>
      <c r="E99" s="16"/>
      <c r="F99" s="16"/>
      <c r="G99" s="46"/>
      <c r="H99" s="16"/>
      <c r="I99" s="30"/>
      <c r="J99" s="27"/>
      <c r="K99" s="30"/>
      <c r="L99" s="27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</row>
    <row r="100" customFormat="1" ht="15" spans="1:23">
      <c r="A100" s="15">
        <f t="shared" si="47"/>
        <v>95</v>
      </c>
      <c r="B100" s="3">
        <f t="shared" si="45"/>
        <v>195</v>
      </c>
      <c r="C100" s="3" t="str">
        <f>VLOOKUP(B100,'[1]list-flat-report_SOVIII.2021-Ju'!$C$3:$G$116,5,0)</f>
        <v>Modi Housing Pvt Ltd.</v>
      </c>
      <c r="D100" s="16">
        <v>0</v>
      </c>
      <c r="E100" s="16"/>
      <c r="F100" s="16"/>
      <c r="G100" s="46"/>
      <c r="H100" s="16"/>
      <c r="I100" s="30"/>
      <c r="J100" s="27"/>
      <c r="K100" s="30"/>
      <c r="L100" s="27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</row>
    <row r="101" customFormat="1" ht="15" spans="1:23">
      <c r="A101" s="15">
        <f t="shared" si="47"/>
        <v>96</v>
      </c>
      <c r="B101" s="3">
        <f t="shared" si="45"/>
        <v>196</v>
      </c>
      <c r="C101" s="3" t="str">
        <f>VLOOKUP(B101,'[1]list-flat-report_SOVIII.2021-Ju'!$C$3:$G$116,5,0)</f>
        <v>Modi Housing Pvt Ltd.</v>
      </c>
      <c r="D101" s="16">
        <v>0</v>
      </c>
      <c r="E101" s="16"/>
      <c r="F101" s="16"/>
      <c r="G101" s="46"/>
      <c r="H101" s="16"/>
      <c r="I101" s="30"/>
      <c r="J101" s="27"/>
      <c r="K101" s="30"/>
      <c r="L101" s="27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</row>
    <row r="102" customFormat="1" ht="15" spans="1:23">
      <c r="A102" s="15">
        <f t="shared" si="47"/>
        <v>97</v>
      </c>
      <c r="B102" s="3">
        <f t="shared" si="45"/>
        <v>197</v>
      </c>
      <c r="C102" s="3" t="str">
        <f>VLOOKUP(B102,'[1]list-flat-report_SOVIII.2021-Ju'!$C$3:$G$116,5,0)</f>
        <v>Modi Housing Pvt Ltd.</v>
      </c>
      <c r="D102" s="16">
        <v>0</v>
      </c>
      <c r="E102" s="16"/>
      <c r="F102" s="16"/>
      <c r="G102" s="46"/>
      <c r="H102" s="16"/>
      <c r="I102" s="30"/>
      <c r="J102" s="27"/>
      <c r="K102" s="30"/>
      <c r="L102" s="27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</row>
    <row r="103" customFormat="1" ht="15" spans="1:23">
      <c r="A103" s="15">
        <f t="shared" si="47"/>
        <v>98</v>
      </c>
      <c r="B103" s="3">
        <f t="shared" si="45"/>
        <v>198</v>
      </c>
      <c r="C103" s="3" t="str">
        <f>VLOOKUP(B103,'[1]list-flat-report_SOVIII.2021-Ju'!$C$3:$G$116,5,0)</f>
        <v>Modi Housing Pvt Ltd.</v>
      </c>
      <c r="D103" s="16">
        <v>0</v>
      </c>
      <c r="E103" s="16"/>
      <c r="F103" s="16"/>
      <c r="G103" s="46"/>
      <c r="H103" s="16"/>
      <c r="I103" s="30"/>
      <c r="J103" s="27"/>
      <c r="K103" s="30"/>
      <c r="L103" s="27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</row>
    <row r="104" customFormat="1" ht="15" spans="1:23">
      <c r="A104" s="15">
        <f t="shared" si="47"/>
        <v>99</v>
      </c>
      <c r="B104" s="3">
        <f t="shared" si="45"/>
        <v>199</v>
      </c>
      <c r="C104" s="3" t="str">
        <f>VLOOKUP(B104,'[1]list-flat-report_SOVIII.2021-Ju'!$C$3:$G$116,5,0)</f>
        <v>Modi Housing Pvt Ltd.</v>
      </c>
      <c r="D104" s="16">
        <v>0</v>
      </c>
      <c r="E104" s="16"/>
      <c r="F104" s="16"/>
      <c r="G104" s="46"/>
      <c r="H104" s="16"/>
      <c r="I104" s="30"/>
      <c r="J104" s="27"/>
      <c r="K104" s="30"/>
      <c r="L104" s="27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</row>
    <row r="105" customFormat="1" ht="15" spans="1:23">
      <c r="A105" s="15">
        <f t="shared" si="47"/>
        <v>100</v>
      </c>
      <c r="B105" s="3">
        <f t="shared" si="45"/>
        <v>200</v>
      </c>
      <c r="C105" s="3" t="str">
        <f>VLOOKUP(B105,'[1]list-flat-report_SOVIII.2021-Ju'!$C$3:$G$116,5,0)</f>
        <v>Modi Housing Pvt Ltd.</v>
      </c>
      <c r="D105" s="16">
        <v>0</v>
      </c>
      <c r="E105" s="16"/>
      <c r="F105" s="16"/>
      <c r="G105" s="46"/>
      <c r="H105" s="16"/>
      <c r="I105" s="30"/>
      <c r="J105" s="27"/>
      <c r="K105" s="30"/>
      <c r="L105" s="27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</row>
    <row r="106" customFormat="1" ht="15" spans="1:23">
      <c r="A106" s="15">
        <f t="shared" si="47"/>
        <v>101</v>
      </c>
      <c r="B106" s="3">
        <f t="shared" si="45"/>
        <v>201</v>
      </c>
      <c r="C106" s="3" t="str">
        <f>VLOOKUP(B106,'[1]list-flat-report_SOVIII.2021-Ju'!$C$3:$G$116,5,0)</f>
        <v>Modi Housing Pvt Ltd.</v>
      </c>
      <c r="D106" s="16">
        <v>0</v>
      </c>
      <c r="E106" s="16"/>
      <c r="F106" s="16"/>
      <c r="G106" s="46"/>
      <c r="H106" s="16"/>
      <c r="I106" s="30"/>
      <c r="J106" s="27"/>
      <c r="K106" s="30"/>
      <c r="L106" s="27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</row>
    <row r="107" customFormat="1" ht="15" spans="1:23">
      <c r="A107" s="15">
        <f t="shared" si="47"/>
        <v>102</v>
      </c>
      <c r="B107" s="3">
        <f t="shared" si="45"/>
        <v>202</v>
      </c>
      <c r="C107" s="3" t="str">
        <f>VLOOKUP(B107,'[1]list-flat-report_SOVIII.2021-Ju'!$C$3:$G$116,5,0)</f>
        <v>Modi Housing Pvt Ltd.</v>
      </c>
      <c r="D107" s="16">
        <v>0</v>
      </c>
      <c r="E107" s="16"/>
      <c r="F107" s="16"/>
      <c r="G107" s="46"/>
      <c r="H107" s="16"/>
      <c r="I107" s="30"/>
      <c r="J107" s="27"/>
      <c r="K107" s="30"/>
      <c r="L107" s="27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</row>
    <row r="108" customFormat="1" ht="15" spans="1:23">
      <c r="A108" s="15">
        <f t="shared" si="47"/>
        <v>103</v>
      </c>
      <c r="B108" s="3">
        <f t="shared" si="45"/>
        <v>203</v>
      </c>
      <c r="C108" s="3" t="str">
        <f>VLOOKUP(B108,'[1]list-flat-report_SOVIII.2021-Ju'!$C$3:$G$116,5,0)</f>
        <v>Modi Housing Pvt Ltd.</v>
      </c>
      <c r="D108" s="16">
        <v>0</v>
      </c>
      <c r="E108" s="16"/>
      <c r="F108" s="16"/>
      <c r="G108" s="46"/>
      <c r="H108" s="16"/>
      <c r="I108" s="30"/>
      <c r="J108" s="27"/>
      <c r="K108" s="30"/>
      <c r="L108" s="27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</row>
    <row r="109" customFormat="1" ht="15" spans="1:23">
      <c r="A109" s="15">
        <f t="shared" si="47"/>
        <v>104</v>
      </c>
      <c r="B109" s="3">
        <f t="shared" si="45"/>
        <v>204</v>
      </c>
      <c r="C109" s="3" t="str">
        <f>VLOOKUP(B109,'[1]list-flat-report_SOVIII.2021-Ju'!$C$3:$G$116,5,0)</f>
        <v>Modi Housing Pvt Ltd.</v>
      </c>
      <c r="D109" s="16">
        <v>0</v>
      </c>
      <c r="E109" s="16"/>
      <c r="F109" s="16"/>
      <c r="G109" s="46"/>
      <c r="H109" s="16"/>
      <c r="I109" s="30"/>
      <c r="J109" s="27"/>
      <c r="K109" s="30"/>
      <c r="L109" s="27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</row>
    <row r="110" customFormat="1" ht="15" spans="1:23">
      <c r="A110" s="15">
        <f t="shared" si="47"/>
        <v>105</v>
      </c>
      <c r="B110" s="3">
        <f t="shared" si="45"/>
        <v>205</v>
      </c>
      <c r="C110" s="3" t="str">
        <f>VLOOKUP(B110,'[1]list-flat-report_SOVIII.2021-Ju'!$C$3:$G$116,5,0)</f>
        <v>Modi Housing Pvt Ltd.</v>
      </c>
      <c r="D110" s="16">
        <v>0</v>
      </c>
      <c r="E110" s="16"/>
      <c r="F110" s="16"/>
      <c r="G110" s="46"/>
      <c r="H110" s="16"/>
      <c r="I110" s="30"/>
      <c r="J110" s="27"/>
      <c r="K110" s="30"/>
      <c r="L110" s="27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</row>
    <row r="111" customFormat="1" ht="15" spans="1:23">
      <c r="A111" s="15">
        <f t="shared" si="47"/>
        <v>106</v>
      </c>
      <c r="B111" s="3">
        <f t="shared" si="45"/>
        <v>206</v>
      </c>
      <c r="C111" s="3" t="str">
        <f>VLOOKUP(B111,'[1]list-flat-report_SOVIII.2021-Ju'!$C$3:$G$116,5,0)</f>
        <v>Modi Housing Pvt Ltd.</v>
      </c>
      <c r="D111" s="16">
        <v>0</v>
      </c>
      <c r="E111" s="16"/>
      <c r="F111" s="16"/>
      <c r="G111" s="46"/>
      <c r="H111" s="16"/>
      <c r="I111" s="30"/>
      <c r="J111" s="27"/>
      <c r="K111" s="30"/>
      <c r="L111" s="27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</row>
    <row r="112" customFormat="1" ht="15" spans="1:23">
      <c r="A112" s="15">
        <f t="shared" si="47"/>
        <v>107</v>
      </c>
      <c r="B112" s="3">
        <f t="shared" si="45"/>
        <v>207</v>
      </c>
      <c r="C112" s="3" t="str">
        <f>VLOOKUP(B112,'[1]list-flat-report_SOVIII.2021-Ju'!$C$3:$G$116,5,0)</f>
        <v>Modi Housing Pvt Ltd.</v>
      </c>
      <c r="D112" s="16">
        <v>0</v>
      </c>
      <c r="E112" s="16"/>
      <c r="F112" s="16"/>
      <c r="G112" s="46"/>
      <c r="H112" s="16"/>
      <c r="I112" s="30"/>
      <c r="J112" s="27"/>
      <c r="K112" s="30"/>
      <c r="L112" s="27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</row>
    <row r="113" customFormat="1" ht="15" spans="1:23">
      <c r="A113" s="15">
        <f t="shared" si="47"/>
        <v>108</v>
      </c>
      <c r="B113" s="3">
        <f t="shared" si="45"/>
        <v>208</v>
      </c>
      <c r="C113" s="3" t="str">
        <f>VLOOKUP(B113,'[1]list-flat-report_SOVIII.2021-Ju'!$C$3:$G$116,5,0)</f>
        <v>Modi Housing Pvt Ltd.</v>
      </c>
      <c r="D113" s="16">
        <v>0</v>
      </c>
      <c r="E113" s="16"/>
      <c r="F113" s="16"/>
      <c r="G113" s="46"/>
      <c r="H113" s="16"/>
      <c r="I113" s="30"/>
      <c r="J113" s="27"/>
      <c r="K113" s="30"/>
      <c r="L113" s="27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 customFormat="1" ht="15" spans="1:23">
      <c r="A114" s="15">
        <f t="shared" si="47"/>
        <v>109</v>
      </c>
      <c r="B114" s="3">
        <f t="shared" si="45"/>
        <v>209</v>
      </c>
      <c r="C114" s="3" t="str">
        <f>VLOOKUP(B114,'[1]list-flat-report_SOVIII.2021-Ju'!$C$3:$G$116,5,0)</f>
        <v>Modi Housing Pvt Ltd.</v>
      </c>
      <c r="D114" s="16">
        <v>0</v>
      </c>
      <c r="E114" s="16"/>
      <c r="F114" s="16"/>
      <c r="G114" s="46"/>
      <c r="H114" s="16"/>
      <c r="I114" s="30"/>
      <c r="J114" s="27"/>
      <c r="K114" s="30"/>
      <c r="L114" s="27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customFormat="1" ht="15" spans="1:23">
      <c r="A115" s="15">
        <f t="shared" si="47"/>
        <v>110</v>
      </c>
      <c r="B115" s="3">
        <f t="shared" si="45"/>
        <v>210</v>
      </c>
      <c r="C115" s="3" t="str">
        <f>VLOOKUP(B115,'[1]list-flat-report_SOVIII.2021-Ju'!$C$3:$G$116,5,0)</f>
        <v>Modi Housing Pvt Ltd.</v>
      </c>
      <c r="D115" s="16">
        <v>0</v>
      </c>
      <c r="E115" s="16"/>
      <c r="F115" s="16"/>
      <c r="G115" s="46"/>
      <c r="H115" s="16"/>
      <c r="I115" s="30"/>
      <c r="J115" s="27"/>
      <c r="K115" s="30"/>
      <c r="L115" s="27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customFormat="1" ht="15" spans="1:23">
      <c r="A116" s="15">
        <f t="shared" si="47"/>
        <v>111</v>
      </c>
      <c r="B116" s="3">
        <f t="shared" si="45"/>
        <v>211</v>
      </c>
      <c r="C116" s="3" t="str">
        <f>VLOOKUP(B116,'[1]list-flat-report_SOVIII.2021-Ju'!$C$3:$G$116,5,0)</f>
        <v>Modi Housing Pvt Ltd.</v>
      </c>
      <c r="D116" s="16">
        <v>0</v>
      </c>
      <c r="E116" s="16"/>
      <c r="F116" s="16"/>
      <c r="G116" s="46"/>
      <c r="H116" s="16"/>
      <c r="I116" s="30"/>
      <c r="J116" s="27"/>
      <c r="K116" s="30"/>
      <c r="L116" s="27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customFormat="1" ht="15" spans="1:23">
      <c r="A117" s="15">
        <f t="shared" si="47"/>
        <v>112</v>
      </c>
      <c r="B117" s="3">
        <f t="shared" si="45"/>
        <v>212</v>
      </c>
      <c r="C117" s="3" t="str">
        <f>VLOOKUP(B117,'[1]list-flat-report_SOVIII.2021-Ju'!$C$3:$G$116,5,0)</f>
        <v>Modi Housing Pvt Ltd.</v>
      </c>
      <c r="D117" s="16">
        <v>0</v>
      </c>
      <c r="E117" s="16"/>
      <c r="F117" s="16"/>
      <c r="G117" s="46"/>
      <c r="H117" s="16"/>
      <c r="I117" s="30"/>
      <c r="J117" s="27"/>
      <c r="K117" s="30"/>
      <c r="L117" s="27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 customFormat="1" ht="15" spans="1:23">
      <c r="A118" s="15">
        <f t="shared" si="47"/>
        <v>113</v>
      </c>
      <c r="B118" s="3">
        <f t="shared" si="45"/>
        <v>213</v>
      </c>
      <c r="C118" s="3" t="str">
        <f>VLOOKUP(B118,'[1]list-flat-report_SOVIII.2021-Ju'!$C$3:$G$116,5,0)</f>
        <v>Modi Housing Pvt Ltd.</v>
      </c>
      <c r="D118" s="16">
        <v>0</v>
      </c>
      <c r="E118" s="16"/>
      <c r="F118" s="16"/>
      <c r="G118" s="46"/>
      <c r="H118" s="16"/>
      <c r="I118" s="30"/>
      <c r="J118" s="27"/>
      <c r="K118" s="30"/>
      <c r="L118" s="27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</row>
    <row r="119" customFormat="1" ht="15" spans="1:23">
      <c r="A119" s="15">
        <f t="shared" si="47"/>
        <v>114</v>
      </c>
      <c r="B119" s="3">
        <f t="shared" si="45"/>
        <v>214</v>
      </c>
      <c r="C119" s="3" t="str">
        <f>VLOOKUP(B119,'[1]list-flat-report_SOVIII.2021-Ju'!$C$3:$G$116,5,0)</f>
        <v>Modi Housing Pvt Ltd.</v>
      </c>
      <c r="D119" s="16">
        <v>0</v>
      </c>
      <c r="E119" s="16"/>
      <c r="F119" s="16"/>
      <c r="G119" s="46"/>
      <c r="H119" s="16"/>
      <c r="I119" s="30"/>
      <c r="J119" s="27"/>
      <c r="K119" s="30"/>
      <c r="L119" s="27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</row>
    <row r="120" s="50" customFormat="1" ht="13.5" spans="1:23">
      <c r="A120" s="78"/>
      <c r="B120" s="79"/>
      <c r="C120" s="79"/>
      <c r="D120" s="80">
        <f t="shared" ref="D120:W120" si="52">SUBTOTAL(9,D6:D119)</f>
        <v>576375000</v>
      </c>
      <c r="E120" s="80">
        <f t="shared" si="52"/>
        <v>230550000</v>
      </c>
      <c r="F120" s="80">
        <f t="shared" si="52"/>
        <v>13200000</v>
      </c>
      <c r="G120" s="80">
        <f t="shared" si="52"/>
        <v>217350000</v>
      </c>
      <c r="H120" s="80">
        <f t="shared" si="52"/>
        <v>54337500</v>
      </c>
      <c r="I120" s="80"/>
      <c r="J120" s="80">
        <f t="shared" si="52"/>
        <v>38213900</v>
      </c>
      <c r="K120" s="80">
        <f t="shared" si="52"/>
        <v>887111</v>
      </c>
      <c r="L120" s="80">
        <f t="shared" si="52"/>
        <v>16020100</v>
      </c>
      <c r="M120" s="80">
        <f t="shared" si="52"/>
        <v>177384</v>
      </c>
      <c r="N120" s="81">
        <f t="shared" si="52"/>
        <v>3165000</v>
      </c>
      <c r="O120" s="49">
        <f t="shared" si="52"/>
        <v>0</v>
      </c>
      <c r="P120" s="49">
        <f t="shared" si="52"/>
        <v>0</v>
      </c>
      <c r="Q120" s="49">
        <f t="shared" si="52"/>
        <v>0</v>
      </c>
      <c r="R120" s="49">
        <f t="shared" si="52"/>
        <v>0</v>
      </c>
      <c r="S120" s="82">
        <f t="shared" si="52"/>
        <v>57399000</v>
      </c>
      <c r="T120" s="80">
        <f t="shared" si="52"/>
        <v>50966900</v>
      </c>
      <c r="U120" s="80">
        <f t="shared" si="52"/>
        <v>6432100</v>
      </c>
      <c r="V120" s="80">
        <f t="shared" si="52"/>
        <v>578889</v>
      </c>
      <c r="W120" s="81">
        <f t="shared" si="52"/>
        <v>578889</v>
      </c>
    </row>
    <row r="121" ht="13.5" spans="8:18">
      <c r="H121" s="46"/>
      <c r="R121" s="3"/>
    </row>
    <row r="122" spans="5:8">
      <c r="E122" s="46"/>
      <c r="H122" s="46"/>
    </row>
    <row r="123" spans="5:5">
      <c r="E123" s="46"/>
    </row>
    <row r="124" spans="5:5">
      <c r="E124" s="46"/>
    </row>
    <row r="125" spans="5:5">
      <c r="E125" s="47"/>
    </row>
  </sheetData>
  <autoFilter ref="A5:W119">
    <extLst/>
  </autoFilter>
  <printOptions gridLines="1"/>
  <pageMargins left="0.25" right="0.239583333333333" top="0.829861111111111" bottom="0.389583333333333" header="0.419444444444444" footer="0.309722222222222"/>
  <pageSetup paperSize="9" scale="79" fitToHeight="3" orientation="landscape" horizontalDpi="600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Y122"/>
  <sheetViews>
    <sheetView tabSelected="1" zoomScaleSheetLayoutView="70" workbookViewId="0">
      <pane xSplit="3" ySplit="5" topLeftCell="G6" activePane="bottomRight" state="frozen"/>
      <selection/>
      <selection pane="topRight"/>
      <selection pane="bottomLeft"/>
      <selection pane="bottomRight" activeCell="S13" sqref="S13"/>
    </sheetView>
  </sheetViews>
  <sheetFormatPr defaultColWidth="9" defaultRowHeight="12.75"/>
  <cols>
    <col min="1" max="1" width="4.85714285714286" style="1" customWidth="1"/>
    <col min="2" max="2" width="5.57142857142857" style="1" customWidth="1"/>
    <col min="3" max="3" width="22.7142857142857" style="1" customWidth="1"/>
    <col min="4" max="4" width="12.7142857142857" style="6" customWidth="1"/>
    <col min="5" max="5" width="12.5714285714286" style="1" customWidth="1"/>
    <col min="6" max="6" width="10.2857142857143" style="1" customWidth="1"/>
    <col min="7" max="7" width="12.1428571428571" style="1" customWidth="1"/>
    <col min="8" max="8" width="11.5714285714286" style="1" customWidth="1"/>
    <col min="9" max="9" width="10.2857142857143" style="1" customWidth="1"/>
    <col min="10" max="10" width="11.1428571428571" style="7" customWidth="1"/>
    <col min="11" max="11" width="9.71428571428571" style="1" customWidth="1"/>
    <col min="12" max="12" width="11.4285714285714" style="7" customWidth="1"/>
    <col min="13" max="13" width="9.28571428571429" style="1" customWidth="1"/>
    <col min="14" max="14" width="10.2857142857143" style="7" customWidth="1"/>
    <col min="15" max="15" width="7.28571428571429" style="3" hidden="1" customWidth="1"/>
    <col min="16" max="16" width="8.14285714285714" style="8" hidden="1" customWidth="1"/>
    <col min="17" max="17" width="10.5714285714286" style="3" hidden="1" customWidth="1"/>
    <col min="18" max="18" width="8.71428571428571" style="9" hidden="1" customWidth="1"/>
    <col min="19" max="20" width="11.4285714285714" style="10" customWidth="1"/>
    <col min="21" max="22" width="11.1428571428571" style="10" customWidth="1"/>
    <col min="23" max="23" width="12.8571428571429" style="10" customWidth="1"/>
    <col min="24" max="24" width="11.4285714285714" style="3" hidden="1" customWidth="1"/>
    <col min="25" max="25" width="9.28571428571429" style="3" hidden="1" customWidth="1"/>
    <col min="26" max="16384" width="9" style="1"/>
  </cols>
  <sheetData>
    <row r="1" s="1" customFormat="1" spans="1:25">
      <c r="A1" s="1" t="s">
        <v>23</v>
      </c>
      <c r="B1" s="1"/>
      <c r="C1" s="1"/>
      <c r="D1" s="6"/>
      <c r="E1" s="1"/>
      <c r="F1" s="1"/>
      <c r="G1" s="1"/>
      <c r="H1" s="1"/>
      <c r="I1" s="1"/>
      <c r="J1" s="7"/>
      <c r="K1" s="1"/>
      <c r="L1" s="7"/>
      <c r="M1" s="1"/>
      <c r="N1" s="7"/>
      <c r="O1" s="3"/>
      <c r="P1" s="8"/>
      <c r="Q1" s="3"/>
      <c r="R1" s="9"/>
      <c r="S1" s="10"/>
      <c r="T1" s="10"/>
      <c r="U1" s="10"/>
      <c r="V1" s="10"/>
      <c r="W1" s="10"/>
      <c r="X1" s="3"/>
      <c r="Y1" s="3"/>
    </row>
    <row r="2" s="1" customFormat="1" spans="1:25">
      <c r="A2" s="1" t="s">
        <v>1</v>
      </c>
      <c r="B2" s="1"/>
      <c r="C2" s="1"/>
      <c r="D2" s="6"/>
      <c r="E2" s="1"/>
      <c r="F2" s="1"/>
      <c r="G2" s="1"/>
      <c r="H2" s="1"/>
      <c r="I2" s="1"/>
      <c r="J2" s="7"/>
      <c r="K2" s="1"/>
      <c r="L2" s="7"/>
      <c r="M2" s="1"/>
      <c r="N2" s="7"/>
      <c r="O2" s="3"/>
      <c r="P2" s="8"/>
      <c r="Q2" s="3"/>
      <c r="R2" s="9"/>
      <c r="S2" s="10"/>
      <c r="T2" s="10"/>
      <c r="U2" s="10"/>
      <c r="V2" s="10"/>
      <c r="W2" s="10"/>
      <c r="X2" s="3"/>
      <c r="Y2" s="3"/>
    </row>
    <row r="3" s="1" customFormat="1" spans="1:25">
      <c r="A3" s="1" t="s">
        <v>24</v>
      </c>
      <c r="B3" s="1"/>
      <c r="C3" s="1"/>
      <c r="D3" s="6"/>
      <c r="E3" s="1"/>
      <c r="F3" s="1"/>
      <c r="G3" s="1"/>
      <c r="H3" s="1"/>
      <c r="I3" s="1"/>
      <c r="J3" s="7"/>
      <c r="K3" s="1"/>
      <c r="L3" s="7"/>
      <c r="M3" s="1"/>
      <c r="N3" s="7"/>
      <c r="O3" s="3"/>
      <c r="P3" s="8"/>
      <c r="Q3" s="3"/>
      <c r="R3" s="9"/>
      <c r="S3" s="10"/>
      <c r="T3" s="10"/>
      <c r="U3" s="10"/>
      <c r="V3" s="10"/>
      <c r="W3" s="10"/>
      <c r="X3" s="3"/>
      <c r="Y3" s="3"/>
    </row>
    <row r="4" s="2" customFormat="1" ht="38.25" spans="4:25">
      <c r="D4" s="11"/>
      <c r="E4" s="2"/>
      <c r="F4" s="2"/>
      <c r="G4" s="2"/>
      <c r="H4" s="2"/>
      <c r="I4" s="2"/>
      <c r="J4" s="20"/>
      <c r="K4" s="2"/>
      <c r="L4" s="20"/>
      <c r="M4" s="2"/>
      <c r="N4" s="20"/>
      <c r="O4" s="21"/>
      <c r="P4" s="22"/>
      <c r="Q4" s="21"/>
      <c r="R4" s="42"/>
      <c r="S4" s="43" t="s">
        <v>25</v>
      </c>
      <c r="T4" s="43" t="s">
        <v>26</v>
      </c>
      <c r="U4" s="43" t="s">
        <v>27</v>
      </c>
      <c r="V4" s="43"/>
      <c r="W4" s="43" t="s">
        <v>28</v>
      </c>
      <c r="X4" s="21"/>
      <c r="Y4" s="21"/>
    </row>
    <row r="5" s="2" customFormat="1" ht="73" customHeight="1" spans="1:25">
      <c r="A5" s="12" t="s">
        <v>3</v>
      </c>
      <c r="B5" s="12" t="s">
        <v>4</v>
      </c>
      <c r="C5" s="13" t="s">
        <v>5</v>
      </c>
      <c r="D5" s="13" t="s">
        <v>6</v>
      </c>
      <c r="E5" s="12" t="s">
        <v>29</v>
      </c>
      <c r="F5" s="12" t="s">
        <v>8</v>
      </c>
      <c r="G5" s="12" t="s">
        <v>9</v>
      </c>
      <c r="H5" s="14" t="s">
        <v>10</v>
      </c>
      <c r="I5" s="12" t="s">
        <v>11</v>
      </c>
      <c r="J5" s="23" t="s">
        <v>12</v>
      </c>
      <c r="K5" s="12" t="s">
        <v>13</v>
      </c>
      <c r="L5" s="23" t="s">
        <v>12</v>
      </c>
      <c r="M5" s="12" t="s">
        <v>14</v>
      </c>
      <c r="N5" s="23" t="s">
        <v>12</v>
      </c>
      <c r="O5" s="24" t="s">
        <v>15</v>
      </c>
      <c r="P5" s="25" t="s">
        <v>12</v>
      </c>
      <c r="Q5" s="24" t="s">
        <v>16</v>
      </c>
      <c r="R5" s="44" t="s">
        <v>12</v>
      </c>
      <c r="S5" s="13" t="s">
        <v>30</v>
      </c>
      <c r="T5" s="13" t="s">
        <v>31</v>
      </c>
      <c r="U5" s="13" t="s">
        <v>32</v>
      </c>
      <c r="V5" s="13" t="s">
        <v>33</v>
      </c>
      <c r="W5" s="13" t="s">
        <v>34</v>
      </c>
      <c r="X5" s="45" t="s">
        <v>35</v>
      </c>
      <c r="Y5" s="45" t="s">
        <v>36</v>
      </c>
    </row>
    <row r="6" s="3" customFormat="1" hidden="1" spans="1:24">
      <c r="A6" s="15">
        <v>1</v>
      </c>
      <c r="B6" s="3">
        <v>101</v>
      </c>
      <c r="C6" s="3" t="str">
        <f>VLOOKUP(B6,'[1]list-flat-report_SOVIII.2021-Ju'!$C$3:$G$116,5,0)</f>
        <v>Mr. Deepak U. Mehta</v>
      </c>
      <c r="D6" s="16">
        <v>8420000</v>
      </c>
      <c r="E6" s="16">
        <f t="shared" ref="E6:E17" si="0">D6*60%</f>
        <v>5052000</v>
      </c>
      <c r="F6" s="16">
        <v>200000</v>
      </c>
      <c r="G6" s="17">
        <f t="shared" ref="G6:G17" si="1">E6-F6</f>
        <v>4852000</v>
      </c>
      <c r="H6" s="16">
        <f t="shared" ref="H6:H17" si="2">G6/4</f>
        <v>1213000</v>
      </c>
      <c r="I6" s="26">
        <v>44227</v>
      </c>
      <c r="J6" s="27">
        <f>H6</f>
        <v>1213000</v>
      </c>
      <c r="K6" s="26">
        <v>44287</v>
      </c>
      <c r="L6" s="27">
        <f t="shared" ref="L6:L9" si="3">J6</f>
        <v>1213000</v>
      </c>
      <c r="M6" s="16"/>
      <c r="N6" s="16"/>
      <c r="O6" s="16"/>
      <c r="P6" s="16"/>
      <c r="Q6" s="16"/>
      <c r="R6" s="16"/>
      <c r="S6" s="16">
        <f t="shared" ref="S6:S17" si="4">J6+L6+N6+P6+R6</f>
        <v>2426000</v>
      </c>
      <c r="T6" s="16">
        <v>0</v>
      </c>
      <c r="U6" s="16">
        <v>0</v>
      </c>
      <c r="V6" s="16">
        <f t="shared" ref="V6:V17" si="5">T6+U6</f>
        <v>0</v>
      </c>
      <c r="W6" s="16">
        <f t="shared" ref="W6:W17" si="6">S6-V6</f>
        <v>2426000</v>
      </c>
      <c r="X6" s="16"/>
    </row>
    <row r="7" s="1" customFormat="1" spans="1:25">
      <c r="A7" s="18">
        <v>2</v>
      </c>
      <c r="B7" s="1">
        <f t="shared" ref="B7:B70" si="7">+B6+1</f>
        <v>102</v>
      </c>
      <c r="C7" s="1" t="str">
        <f>VLOOKUP(B7,'[1]list-flat-report_SOVIII.2021-Ju'!$C$3:$G$116,5,0)</f>
        <v>Modi Housing Pvt Ltd.</v>
      </c>
      <c r="D7" s="6">
        <v>8300000</v>
      </c>
      <c r="E7" s="6">
        <f t="shared" si="0"/>
        <v>4980000</v>
      </c>
      <c r="F7" s="6">
        <v>200000</v>
      </c>
      <c r="G7" s="19">
        <f t="shared" si="1"/>
        <v>4780000</v>
      </c>
      <c r="H7" s="6">
        <f t="shared" si="2"/>
        <v>1195000</v>
      </c>
      <c r="I7" s="28">
        <v>44227</v>
      </c>
      <c r="J7" s="29">
        <f t="shared" ref="J7:J17" si="8">H7</f>
        <v>1195000</v>
      </c>
      <c r="K7" s="28">
        <v>44287</v>
      </c>
      <c r="L7" s="29">
        <f t="shared" si="3"/>
        <v>1195000</v>
      </c>
      <c r="M7" s="6"/>
      <c r="N7" s="6"/>
      <c r="O7" s="16"/>
      <c r="P7" s="16"/>
      <c r="Q7" s="16"/>
      <c r="R7" s="16"/>
      <c r="S7" s="6">
        <f t="shared" si="4"/>
        <v>2390000</v>
      </c>
      <c r="T7" s="6">
        <f>225000+1000000</f>
        <v>1225000</v>
      </c>
      <c r="U7" s="6">
        <f>3255000-3285000+1195000</f>
        <v>1165000</v>
      </c>
      <c r="V7" s="6">
        <f t="shared" si="5"/>
        <v>2390000</v>
      </c>
      <c r="W7" s="6">
        <f t="shared" si="6"/>
        <v>0</v>
      </c>
      <c r="X7" s="16">
        <v>3285000</v>
      </c>
      <c r="Y7" s="47">
        <f>+W7+X7</f>
        <v>3285000</v>
      </c>
    </row>
    <row r="8" s="3" customFormat="1" hidden="1" spans="1:24">
      <c r="A8" s="15">
        <f t="shared" ref="A8:A71" si="9">+A7+1</f>
        <v>3</v>
      </c>
      <c r="B8" s="3">
        <f t="shared" si="7"/>
        <v>103</v>
      </c>
      <c r="C8" s="3" t="str">
        <f>VLOOKUP(B8,'[1]list-flat-report_SOVIII.2021-Ju'!$C$3:$G$116,5,0)</f>
        <v>Mr. Deepak U. Mehta</v>
      </c>
      <c r="D8" s="16">
        <v>8300000</v>
      </c>
      <c r="E8" s="16">
        <f t="shared" si="0"/>
        <v>4980000</v>
      </c>
      <c r="F8" s="16">
        <v>200000</v>
      </c>
      <c r="G8" s="17">
        <f t="shared" si="1"/>
        <v>4780000</v>
      </c>
      <c r="H8" s="16">
        <f t="shared" si="2"/>
        <v>1195000</v>
      </c>
      <c r="I8" s="26">
        <v>44227</v>
      </c>
      <c r="J8" s="27">
        <f t="shared" si="8"/>
        <v>1195000</v>
      </c>
      <c r="K8" s="30"/>
      <c r="L8" s="27"/>
      <c r="M8" s="16"/>
      <c r="N8" s="16"/>
      <c r="O8" s="16"/>
      <c r="P8" s="16"/>
      <c r="Q8" s="16"/>
      <c r="R8" s="16"/>
      <c r="S8" s="16">
        <f t="shared" si="4"/>
        <v>1195000</v>
      </c>
      <c r="T8" s="16"/>
      <c r="U8" s="16">
        <v>0</v>
      </c>
      <c r="V8" s="16">
        <f t="shared" si="5"/>
        <v>0</v>
      </c>
      <c r="W8" s="16">
        <f t="shared" si="6"/>
        <v>1195000</v>
      </c>
      <c r="X8" s="16"/>
    </row>
    <row r="9" s="1" customFormat="1" spans="1:25">
      <c r="A9" s="18">
        <f t="shared" si="9"/>
        <v>4</v>
      </c>
      <c r="B9" s="1">
        <f t="shared" si="7"/>
        <v>104</v>
      </c>
      <c r="C9" s="1" t="str">
        <f>VLOOKUP(B9,'[1]list-flat-report_SOVIII.2021-Ju'!$C$3:$G$116,5,0)</f>
        <v>Modi Housing Pvt Ltd.</v>
      </c>
      <c r="D9" s="6">
        <v>8300000</v>
      </c>
      <c r="E9" s="6">
        <f t="shared" si="0"/>
        <v>4980000</v>
      </c>
      <c r="F9" s="6">
        <v>200000</v>
      </c>
      <c r="G9" s="19">
        <f t="shared" si="1"/>
        <v>4780000</v>
      </c>
      <c r="H9" s="6">
        <f t="shared" si="2"/>
        <v>1195000</v>
      </c>
      <c r="I9" s="28">
        <v>44227</v>
      </c>
      <c r="J9" s="29">
        <f t="shared" si="8"/>
        <v>1195000</v>
      </c>
      <c r="K9" s="31">
        <v>44321</v>
      </c>
      <c r="L9" s="29">
        <f t="shared" si="3"/>
        <v>1195000</v>
      </c>
      <c r="M9" s="32">
        <v>44515</v>
      </c>
      <c r="N9" s="33">
        <f>H9</f>
        <v>1195000</v>
      </c>
      <c r="O9" s="16"/>
      <c r="P9" s="16"/>
      <c r="Q9" s="16"/>
      <c r="R9" s="16"/>
      <c r="S9" s="6">
        <f t="shared" si="4"/>
        <v>3585000</v>
      </c>
      <c r="T9" s="6">
        <v>1225000</v>
      </c>
      <c r="U9" s="6">
        <f>3255000-3285000</f>
        <v>-30000</v>
      </c>
      <c r="V9" s="6">
        <f>T9+U9+1195000</f>
        <v>2390000</v>
      </c>
      <c r="W9" s="6">
        <f t="shared" si="6"/>
        <v>1195000</v>
      </c>
      <c r="X9" s="16">
        <v>3285000</v>
      </c>
      <c r="Y9" s="47">
        <f>+W9+X9</f>
        <v>4480000</v>
      </c>
    </row>
    <row r="10" s="3" customFormat="1" hidden="1" spans="1:24">
      <c r="A10" s="15">
        <f t="shared" si="9"/>
        <v>5</v>
      </c>
      <c r="B10" s="3">
        <f t="shared" si="7"/>
        <v>105</v>
      </c>
      <c r="C10" s="3" t="str">
        <f>VLOOKUP(B10,'[1]list-flat-report_SOVIII.2021-Ju'!$C$3:$G$116,5,0)</f>
        <v>Mr. Deepak U. Mehta</v>
      </c>
      <c r="D10" s="16">
        <v>7100000</v>
      </c>
      <c r="E10" s="16">
        <f t="shared" si="0"/>
        <v>4260000</v>
      </c>
      <c r="F10" s="16">
        <v>200000</v>
      </c>
      <c r="G10" s="17">
        <f t="shared" si="1"/>
        <v>4060000</v>
      </c>
      <c r="H10" s="16">
        <f t="shared" si="2"/>
        <v>1015000</v>
      </c>
      <c r="I10" s="26">
        <v>44227</v>
      </c>
      <c r="J10" s="27">
        <f t="shared" si="8"/>
        <v>1015000</v>
      </c>
      <c r="K10" s="30"/>
      <c r="L10" s="27"/>
      <c r="M10" s="16"/>
      <c r="N10" s="16"/>
      <c r="O10" s="16"/>
      <c r="P10" s="16"/>
      <c r="Q10" s="16"/>
      <c r="R10" s="16"/>
      <c r="S10" s="16">
        <f t="shared" si="4"/>
        <v>1015000</v>
      </c>
      <c r="T10" s="16"/>
      <c r="U10" s="16">
        <v>0</v>
      </c>
      <c r="V10" s="16">
        <f t="shared" si="5"/>
        <v>0</v>
      </c>
      <c r="W10" s="16">
        <f t="shared" si="6"/>
        <v>1015000</v>
      </c>
      <c r="X10" s="16"/>
    </row>
    <row r="11" s="1" customFormat="1" spans="1:25">
      <c r="A11" s="18">
        <f t="shared" si="9"/>
        <v>6</v>
      </c>
      <c r="B11" s="1">
        <f t="shared" si="7"/>
        <v>106</v>
      </c>
      <c r="C11" s="1" t="str">
        <f>VLOOKUP(B11,'[1]list-flat-report_SOVIII.2021-Ju'!$C$3:$G$116,5,0)</f>
        <v>Modi Housing Pvt Ltd.</v>
      </c>
      <c r="D11" s="6">
        <v>8400000</v>
      </c>
      <c r="E11" s="6">
        <f t="shared" si="0"/>
        <v>5040000</v>
      </c>
      <c r="F11" s="6">
        <v>200000</v>
      </c>
      <c r="G11" s="19">
        <f t="shared" si="1"/>
        <v>4840000</v>
      </c>
      <c r="H11" s="6">
        <f t="shared" si="2"/>
        <v>1210000</v>
      </c>
      <c r="I11" s="28">
        <v>44286</v>
      </c>
      <c r="J11" s="29">
        <f t="shared" si="8"/>
        <v>1210000</v>
      </c>
      <c r="K11" s="34">
        <v>44481</v>
      </c>
      <c r="L11" s="35">
        <f t="shared" ref="L11:L16" si="10">H11</f>
        <v>1210000</v>
      </c>
      <c r="M11" s="6"/>
      <c r="N11" s="6"/>
      <c r="O11" s="16"/>
      <c r="P11" s="16"/>
      <c r="Q11" s="16"/>
      <c r="R11" s="16"/>
      <c r="S11" s="6">
        <f t="shared" si="4"/>
        <v>2420000</v>
      </c>
      <c r="T11" s="6"/>
      <c r="U11" s="6">
        <f>Q11-T11+1210000+1210000</f>
        <v>2420000</v>
      </c>
      <c r="V11" s="6">
        <f t="shared" si="5"/>
        <v>2420000</v>
      </c>
      <c r="W11" s="6">
        <f t="shared" si="6"/>
        <v>0</v>
      </c>
      <c r="X11" s="16">
        <v>0</v>
      </c>
      <c r="Y11" s="47">
        <f>+W11+X11</f>
        <v>0</v>
      </c>
    </row>
    <row r="12" s="3" customFormat="1" hidden="1" spans="1:25">
      <c r="A12" s="15">
        <f t="shared" si="9"/>
        <v>7</v>
      </c>
      <c r="B12" s="3">
        <f t="shared" si="7"/>
        <v>107</v>
      </c>
      <c r="C12" s="3" t="str">
        <f>VLOOKUP(B12,'[1]list-flat-report_SOVIII.2021-Ju'!$C$3:$G$116,5,0)</f>
        <v>Mrs. Harsha D. Mehta</v>
      </c>
      <c r="D12" s="16">
        <v>7800000</v>
      </c>
      <c r="E12" s="16">
        <f t="shared" si="0"/>
        <v>4680000</v>
      </c>
      <c r="F12" s="16">
        <v>200000</v>
      </c>
      <c r="G12" s="17">
        <f t="shared" si="1"/>
        <v>4480000</v>
      </c>
      <c r="H12" s="16">
        <f t="shared" si="2"/>
        <v>1120000</v>
      </c>
      <c r="I12" s="26">
        <v>44286</v>
      </c>
      <c r="J12" s="27">
        <f t="shared" si="8"/>
        <v>1120000</v>
      </c>
      <c r="K12" s="30"/>
      <c r="L12" s="27"/>
      <c r="M12" s="16"/>
      <c r="N12" s="16"/>
      <c r="O12" s="16"/>
      <c r="P12" s="16"/>
      <c r="Q12" s="16"/>
      <c r="R12" s="16"/>
      <c r="S12" s="16">
        <f t="shared" si="4"/>
        <v>1120000</v>
      </c>
      <c r="T12" s="16"/>
      <c r="U12" s="16"/>
      <c r="V12" s="16">
        <f t="shared" si="5"/>
        <v>0</v>
      </c>
      <c r="W12" s="16">
        <f t="shared" si="6"/>
        <v>1120000</v>
      </c>
      <c r="X12" s="16"/>
      <c r="Y12" s="47"/>
    </row>
    <row r="13" s="1" customFormat="1" spans="1:25">
      <c r="A13" s="18">
        <f t="shared" si="9"/>
        <v>8</v>
      </c>
      <c r="B13" s="1">
        <f t="shared" si="7"/>
        <v>108</v>
      </c>
      <c r="C13" s="1" t="str">
        <f>VLOOKUP(B13,'[1]list-flat-report_SOVIII.2021-Ju'!$C$3:$G$116,5,0)</f>
        <v>Modi Housing Pvt Ltd.</v>
      </c>
      <c r="D13" s="6">
        <v>9100000</v>
      </c>
      <c r="E13" s="6">
        <f t="shared" si="0"/>
        <v>5460000</v>
      </c>
      <c r="F13" s="6">
        <v>200000</v>
      </c>
      <c r="G13" s="19">
        <f t="shared" si="1"/>
        <v>5260000</v>
      </c>
      <c r="H13" s="6">
        <f t="shared" si="2"/>
        <v>1315000</v>
      </c>
      <c r="I13" s="28">
        <v>44309</v>
      </c>
      <c r="J13" s="36">
        <f t="shared" si="8"/>
        <v>1315000</v>
      </c>
      <c r="K13" s="34">
        <v>44496</v>
      </c>
      <c r="L13" s="35">
        <f t="shared" si="10"/>
        <v>1315000</v>
      </c>
      <c r="M13" s="6"/>
      <c r="N13" s="6"/>
      <c r="O13" s="16"/>
      <c r="P13" s="16"/>
      <c r="Q13" s="16"/>
      <c r="R13" s="16"/>
      <c r="S13" s="6">
        <f t="shared" si="4"/>
        <v>2630000</v>
      </c>
      <c r="T13" s="6"/>
      <c r="U13" s="6">
        <f>225000-225000+1315000+1315000</f>
        <v>2630000</v>
      </c>
      <c r="V13" s="6">
        <f t="shared" si="5"/>
        <v>2630000</v>
      </c>
      <c r="W13" s="6">
        <f t="shared" si="6"/>
        <v>0</v>
      </c>
      <c r="X13" s="16">
        <v>225000</v>
      </c>
      <c r="Y13" s="47">
        <f>+W13+X13</f>
        <v>225000</v>
      </c>
    </row>
    <row r="14" s="3" customFormat="1" hidden="1" spans="1:24">
      <c r="A14" s="15">
        <f t="shared" si="9"/>
        <v>9</v>
      </c>
      <c r="B14" s="3">
        <f t="shared" si="7"/>
        <v>109</v>
      </c>
      <c r="C14" s="3" t="str">
        <f>VLOOKUP(B14,'[1]list-flat-report_SOVIII.2021-Ju'!$C$3:$G$116,5,0)</f>
        <v>Mrs. Harsha D. Mehta</v>
      </c>
      <c r="D14" s="16">
        <v>8500000</v>
      </c>
      <c r="E14" s="16">
        <f t="shared" si="0"/>
        <v>5100000</v>
      </c>
      <c r="F14" s="16">
        <v>200000</v>
      </c>
      <c r="G14" s="17">
        <f t="shared" si="1"/>
        <v>4900000</v>
      </c>
      <c r="H14" s="16">
        <f t="shared" si="2"/>
        <v>1225000</v>
      </c>
      <c r="I14" s="26">
        <v>44288</v>
      </c>
      <c r="J14" s="37">
        <f t="shared" si="8"/>
        <v>1225000</v>
      </c>
      <c r="K14" s="38">
        <v>44496</v>
      </c>
      <c r="L14" s="39">
        <f t="shared" si="10"/>
        <v>1225000</v>
      </c>
      <c r="M14" s="16"/>
      <c r="N14" s="16"/>
      <c r="O14" s="16"/>
      <c r="P14" s="16"/>
      <c r="Q14" s="16"/>
      <c r="R14" s="16"/>
      <c r="S14" s="16">
        <f t="shared" si="4"/>
        <v>2450000</v>
      </c>
      <c r="T14" s="16"/>
      <c r="U14" s="16">
        <v>225000</v>
      </c>
      <c r="V14" s="16">
        <f t="shared" si="5"/>
        <v>225000</v>
      </c>
      <c r="W14" s="16">
        <f t="shared" si="6"/>
        <v>2225000</v>
      </c>
      <c r="X14" s="16"/>
    </row>
    <row r="15" s="1" customFormat="1" spans="1:25">
      <c r="A15" s="18">
        <f t="shared" si="9"/>
        <v>10</v>
      </c>
      <c r="B15" s="1">
        <f t="shared" si="7"/>
        <v>110</v>
      </c>
      <c r="C15" s="1" t="str">
        <f>VLOOKUP(B15,'[1]list-flat-report_SOVIII.2021-Ju'!$C$3:$G$116,5,0)</f>
        <v>Modi Housing Pvt Ltd.</v>
      </c>
      <c r="D15" s="6">
        <v>8200000</v>
      </c>
      <c r="E15" s="6">
        <f t="shared" si="0"/>
        <v>4920000</v>
      </c>
      <c r="F15" s="6">
        <v>200000</v>
      </c>
      <c r="G15" s="19">
        <f t="shared" si="1"/>
        <v>4720000</v>
      </c>
      <c r="H15" s="6">
        <f t="shared" si="2"/>
        <v>1180000</v>
      </c>
      <c r="I15" s="28">
        <v>44286</v>
      </c>
      <c r="J15" s="29">
        <f t="shared" si="8"/>
        <v>1180000</v>
      </c>
      <c r="K15" s="34">
        <v>44481</v>
      </c>
      <c r="L15" s="35">
        <f t="shared" si="10"/>
        <v>1180000</v>
      </c>
      <c r="M15" s="6"/>
      <c r="N15" s="6"/>
      <c r="O15" s="16"/>
      <c r="P15" s="16"/>
      <c r="Q15" s="16"/>
      <c r="R15" s="16"/>
      <c r="S15" s="6">
        <f t="shared" si="4"/>
        <v>2360000</v>
      </c>
      <c r="T15" s="6">
        <v>1225000</v>
      </c>
      <c r="U15" s="6">
        <f>-45000+1180000</f>
        <v>1135000</v>
      </c>
      <c r="V15" s="6">
        <f t="shared" si="5"/>
        <v>2360000</v>
      </c>
      <c r="W15" s="6">
        <f t="shared" si="6"/>
        <v>0</v>
      </c>
      <c r="X15" s="16">
        <v>0</v>
      </c>
      <c r="Y15" s="47">
        <f>+W15+X15</f>
        <v>0</v>
      </c>
    </row>
    <row r="16" s="3" customFormat="1" hidden="1" spans="1:24">
      <c r="A16" s="15">
        <f t="shared" si="9"/>
        <v>11</v>
      </c>
      <c r="B16" s="3">
        <f t="shared" si="7"/>
        <v>111</v>
      </c>
      <c r="C16" s="3" t="str">
        <f>VLOOKUP(B16,'[1]list-flat-report_SOVIII.2021-Ju'!$C$3:$G$116,5,0)</f>
        <v>Mrs. Harsha D. Mehta</v>
      </c>
      <c r="D16" s="16">
        <v>8800000</v>
      </c>
      <c r="E16" s="16">
        <f t="shared" si="0"/>
        <v>5280000</v>
      </c>
      <c r="F16" s="16">
        <v>200000</v>
      </c>
      <c r="G16" s="17">
        <f t="shared" si="1"/>
        <v>5080000</v>
      </c>
      <c r="H16" s="16">
        <f t="shared" si="2"/>
        <v>1270000</v>
      </c>
      <c r="I16" s="26">
        <v>44227</v>
      </c>
      <c r="J16" s="27">
        <f t="shared" si="8"/>
        <v>1270000</v>
      </c>
      <c r="K16" s="38">
        <v>44496</v>
      </c>
      <c r="L16" s="39">
        <f t="shared" si="10"/>
        <v>1270000</v>
      </c>
      <c r="M16" s="16"/>
      <c r="N16" s="16"/>
      <c r="O16" s="16"/>
      <c r="P16" s="16"/>
      <c r="Q16" s="16"/>
      <c r="R16" s="16"/>
      <c r="S16" s="16">
        <f t="shared" si="4"/>
        <v>2540000</v>
      </c>
      <c r="T16" s="16"/>
      <c r="U16" s="16">
        <v>0</v>
      </c>
      <c r="V16" s="16">
        <f t="shared" si="5"/>
        <v>0</v>
      </c>
      <c r="W16" s="16">
        <f t="shared" si="6"/>
        <v>2540000</v>
      </c>
      <c r="X16" s="16"/>
    </row>
    <row r="17" s="1" customFormat="1" spans="1:25">
      <c r="A17" s="18">
        <f t="shared" si="9"/>
        <v>12</v>
      </c>
      <c r="B17" s="1">
        <f t="shared" si="7"/>
        <v>112</v>
      </c>
      <c r="C17" s="1" t="str">
        <f>VLOOKUP(B17,'[1]list-flat-report_SOVIII.2021-Ju'!$C$3:$G$116,5,0)</f>
        <v>Modi Housing Pvt Ltd.</v>
      </c>
      <c r="D17" s="6">
        <v>8300000</v>
      </c>
      <c r="E17" s="6">
        <f t="shared" si="0"/>
        <v>4980000</v>
      </c>
      <c r="F17" s="6">
        <v>200000</v>
      </c>
      <c r="G17" s="19">
        <f t="shared" si="1"/>
        <v>4780000</v>
      </c>
      <c r="H17" s="6">
        <f t="shared" si="2"/>
        <v>1195000</v>
      </c>
      <c r="I17" s="28">
        <v>44227</v>
      </c>
      <c r="J17" s="29">
        <f t="shared" si="8"/>
        <v>1195000</v>
      </c>
      <c r="K17" s="32">
        <v>44528</v>
      </c>
      <c r="L17" s="39">
        <f>H17</f>
        <v>1195000</v>
      </c>
      <c r="M17" s="6"/>
      <c r="N17" s="6"/>
      <c r="O17" s="16"/>
      <c r="P17" s="16"/>
      <c r="Q17" s="16"/>
      <c r="R17" s="16"/>
      <c r="S17" s="6">
        <f t="shared" si="4"/>
        <v>2390000</v>
      </c>
      <c r="T17" s="6"/>
      <c r="U17" s="6">
        <f>1225000+960000-990000</f>
        <v>1195000</v>
      </c>
      <c r="V17" s="6">
        <f t="shared" si="5"/>
        <v>1195000</v>
      </c>
      <c r="W17" s="6">
        <f t="shared" si="6"/>
        <v>1195000</v>
      </c>
      <c r="X17" s="16">
        <v>990000</v>
      </c>
      <c r="Y17" s="47">
        <f>+W17+X17</f>
        <v>2185000</v>
      </c>
    </row>
    <row r="18" s="3" customFormat="1" hidden="1" spans="1:25">
      <c r="A18" s="15">
        <f t="shared" si="9"/>
        <v>13</v>
      </c>
      <c r="B18" s="3">
        <f t="shared" si="7"/>
        <v>113</v>
      </c>
      <c r="C18" s="3" t="str">
        <f>VLOOKUP(B18,'[1]list-flat-report_SOVIII.2021-Ju'!$C$3:$G$116,5,0)</f>
        <v>Mr. Tejas D. Mehta</v>
      </c>
      <c r="D18" s="16">
        <v>9100000</v>
      </c>
      <c r="E18" s="16"/>
      <c r="F18" s="16"/>
      <c r="G18" s="17"/>
      <c r="H18" s="16"/>
      <c r="I18" s="26"/>
      <c r="J18" s="27"/>
      <c r="K18" s="30"/>
      <c r="L18" s="27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47"/>
    </row>
    <row r="19" s="1" customFormat="1" spans="1:25">
      <c r="A19" s="18">
        <f t="shared" si="9"/>
        <v>14</v>
      </c>
      <c r="B19" s="1">
        <f t="shared" si="7"/>
        <v>114</v>
      </c>
      <c r="C19" s="1" t="str">
        <f>VLOOKUP(B19,'[1]list-flat-report_SOVIII.2021-Ju'!$C$3:$G$116,5,0)</f>
        <v>Modi Housing Pvt Ltd.</v>
      </c>
      <c r="D19" s="6">
        <v>8500000</v>
      </c>
      <c r="E19" s="6">
        <f t="shared" ref="E19:E34" si="11">D19*60%</f>
        <v>5100000</v>
      </c>
      <c r="F19" s="6">
        <v>200000</v>
      </c>
      <c r="G19" s="19">
        <f t="shared" ref="G19:G34" si="12">E19-F19</f>
        <v>4900000</v>
      </c>
      <c r="H19" s="6">
        <f t="shared" ref="H19:H34" si="13">G19/4</f>
        <v>1225000</v>
      </c>
      <c r="I19" s="28">
        <v>44227</v>
      </c>
      <c r="J19" s="29">
        <f t="shared" ref="J19:J26" si="14">H19</f>
        <v>1225000</v>
      </c>
      <c r="K19" s="31">
        <v>44454</v>
      </c>
      <c r="L19" s="29">
        <f t="shared" ref="L19:L23" si="15">H19</f>
        <v>1225000</v>
      </c>
      <c r="M19" s="6"/>
      <c r="N19" s="6"/>
      <c r="O19" s="16"/>
      <c r="P19" s="16"/>
      <c r="Q19" s="16"/>
      <c r="R19" s="16"/>
      <c r="S19" s="6">
        <f t="shared" ref="S19:S23" si="16">J19+L19+N19+P19+R19</f>
        <v>2450000</v>
      </c>
      <c r="T19" s="6"/>
      <c r="U19" s="6">
        <f>1225000+1225000</f>
        <v>2450000</v>
      </c>
      <c r="V19" s="6">
        <f t="shared" ref="V19:V30" si="17">T19+U19</f>
        <v>2450000</v>
      </c>
      <c r="W19" s="6">
        <f t="shared" ref="W19:W44" si="18">S19-V19</f>
        <v>0</v>
      </c>
      <c r="X19" s="16">
        <v>0</v>
      </c>
      <c r="Y19" s="47">
        <f>+W19+X19</f>
        <v>0</v>
      </c>
    </row>
    <row r="20" s="3" customFormat="1" hidden="1" spans="1:24">
      <c r="A20" s="15">
        <f t="shared" si="9"/>
        <v>15</v>
      </c>
      <c r="B20" s="3">
        <f t="shared" si="7"/>
        <v>115</v>
      </c>
      <c r="C20" s="3" t="str">
        <f>VLOOKUP(B20,'[1]list-flat-report_SOVIII.2021-Ju'!$C$3:$G$116,5,0)</f>
        <v>Mr. Sudhir U. Mehta</v>
      </c>
      <c r="D20" s="16">
        <v>9110000</v>
      </c>
      <c r="E20" s="16">
        <f t="shared" si="11"/>
        <v>5466000</v>
      </c>
      <c r="F20" s="16">
        <v>200000</v>
      </c>
      <c r="G20" s="17">
        <f t="shared" si="12"/>
        <v>5266000</v>
      </c>
      <c r="H20" s="16">
        <f t="shared" si="13"/>
        <v>1316500</v>
      </c>
      <c r="I20" s="26">
        <v>44227</v>
      </c>
      <c r="J20" s="27">
        <f t="shared" si="14"/>
        <v>1316500</v>
      </c>
      <c r="K20" s="30">
        <v>44411</v>
      </c>
      <c r="L20" s="40">
        <f t="shared" si="15"/>
        <v>1316500</v>
      </c>
      <c r="N20" s="40"/>
      <c r="P20" s="8"/>
      <c r="R20" s="9"/>
      <c r="S20" s="16">
        <f t="shared" si="16"/>
        <v>2633000</v>
      </c>
      <c r="T20" s="16"/>
      <c r="U20" s="16">
        <v>0</v>
      </c>
      <c r="V20" s="16">
        <f t="shared" si="17"/>
        <v>0</v>
      </c>
      <c r="W20" s="16">
        <f t="shared" si="18"/>
        <v>2633000</v>
      </c>
      <c r="X20" s="16"/>
    </row>
    <row r="21" s="1" customFormat="1" spans="1:25">
      <c r="A21" s="18">
        <f t="shared" si="9"/>
        <v>16</v>
      </c>
      <c r="B21" s="1">
        <f t="shared" si="7"/>
        <v>116</v>
      </c>
      <c r="C21" s="1" t="str">
        <f>VLOOKUP(B21,'[1]list-flat-report_SOVIII.2021-Ju'!$C$3:$G$116,5,0)</f>
        <v>Modi Housing Pvt Ltd.</v>
      </c>
      <c r="D21" s="6">
        <v>8300000</v>
      </c>
      <c r="E21" s="6">
        <f t="shared" si="11"/>
        <v>4980000</v>
      </c>
      <c r="F21" s="6">
        <v>200000</v>
      </c>
      <c r="G21" s="19">
        <f t="shared" si="12"/>
        <v>4780000</v>
      </c>
      <c r="H21" s="6">
        <f t="shared" si="13"/>
        <v>1195000</v>
      </c>
      <c r="I21" s="28">
        <v>44227</v>
      </c>
      <c r="J21" s="29">
        <f t="shared" si="14"/>
        <v>1195000</v>
      </c>
      <c r="K21" s="31">
        <v>44396</v>
      </c>
      <c r="L21" s="29">
        <f t="shared" si="15"/>
        <v>1195000</v>
      </c>
      <c r="M21" s="6"/>
      <c r="N21" s="6"/>
      <c r="O21" s="16"/>
      <c r="P21" s="16"/>
      <c r="Q21" s="16"/>
      <c r="R21" s="16"/>
      <c r="S21" s="6">
        <f t="shared" si="16"/>
        <v>2390000</v>
      </c>
      <c r="T21" s="6">
        <v>1225000</v>
      </c>
      <c r="U21" s="6">
        <f>3255000-3285000+1195000</f>
        <v>1165000</v>
      </c>
      <c r="V21" s="6">
        <f t="shared" si="17"/>
        <v>2390000</v>
      </c>
      <c r="W21" s="6">
        <f t="shared" si="18"/>
        <v>0</v>
      </c>
      <c r="X21" s="16">
        <v>3285000</v>
      </c>
      <c r="Y21" s="47">
        <f>+W21+X21</f>
        <v>3285000</v>
      </c>
    </row>
    <row r="22" s="3" customFormat="1" hidden="1" spans="1:24">
      <c r="A22" s="15">
        <f t="shared" si="9"/>
        <v>17</v>
      </c>
      <c r="B22" s="3">
        <f t="shared" si="7"/>
        <v>117</v>
      </c>
      <c r="C22" s="3" t="str">
        <f>VLOOKUP(B22,'[1]list-flat-report_SOVIII.2021-Ju'!$C$3:$G$116,5,0)</f>
        <v>Mr. Hardik D. Mehta</v>
      </c>
      <c r="D22" s="16">
        <v>8300000</v>
      </c>
      <c r="E22" s="16">
        <f t="shared" si="11"/>
        <v>4980000</v>
      </c>
      <c r="F22" s="16">
        <v>200000</v>
      </c>
      <c r="G22" s="17">
        <f t="shared" si="12"/>
        <v>4780000</v>
      </c>
      <c r="H22" s="16">
        <f t="shared" si="13"/>
        <v>1195000</v>
      </c>
      <c r="I22" s="26">
        <v>44227</v>
      </c>
      <c r="J22" s="27">
        <f t="shared" si="14"/>
        <v>1195000</v>
      </c>
      <c r="K22" s="38">
        <v>44490</v>
      </c>
      <c r="L22" s="39">
        <f t="shared" si="15"/>
        <v>1195000</v>
      </c>
      <c r="M22" s="16"/>
      <c r="N22" s="16"/>
      <c r="O22" s="16"/>
      <c r="P22" s="16"/>
      <c r="Q22" s="16"/>
      <c r="R22" s="16"/>
      <c r="S22" s="16">
        <f t="shared" si="16"/>
        <v>2390000</v>
      </c>
      <c r="T22" s="16"/>
      <c r="U22" s="16">
        <v>0</v>
      </c>
      <c r="V22" s="16">
        <f t="shared" si="17"/>
        <v>0</v>
      </c>
      <c r="W22" s="16">
        <f t="shared" si="18"/>
        <v>2390000</v>
      </c>
      <c r="X22" s="16"/>
    </row>
    <row r="23" s="1" customFormat="1" spans="1:25">
      <c r="A23" s="18">
        <f t="shared" si="9"/>
        <v>18</v>
      </c>
      <c r="B23" s="1">
        <f t="shared" si="7"/>
        <v>118</v>
      </c>
      <c r="C23" s="1" t="str">
        <f>VLOOKUP(B23,'[1]list-flat-report_SOVIII.2021-Ju'!$C$3:$G$116,5,0)</f>
        <v>Modi Housing Pvt Ltd.</v>
      </c>
      <c r="D23" s="6">
        <v>8300000</v>
      </c>
      <c r="E23" s="6">
        <f t="shared" si="11"/>
        <v>4980000</v>
      </c>
      <c r="F23" s="6">
        <v>200000</v>
      </c>
      <c r="G23" s="19">
        <f t="shared" si="12"/>
        <v>4780000</v>
      </c>
      <c r="H23" s="6">
        <f t="shared" si="13"/>
        <v>1195000</v>
      </c>
      <c r="I23" s="28">
        <v>44227</v>
      </c>
      <c r="J23" s="29">
        <f t="shared" si="14"/>
        <v>1195000</v>
      </c>
      <c r="K23" s="32">
        <v>44509</v>
      </c>
      <c r="L23" s="39">
        <f t="shared" si="15"/>
        <v>1195000</v>
      </c>
      <c r="M23" s="6"/>
      <c r="N23" s="6"/>
      <c r="O23" s="16"/>
      <c r="P23" s="16"/>
      <c r="Q23" s="16"/>
      <c r="R23" s="16"/>
      <c r="S23" s="6">
        <f t="shared" si="16"/>
        <v>2390000</v>
      </c>
      <c r="T23" s="6">
        <v>225000</v>
      </c>
      <c r="U23" s="6">
        <f>1000000-30000</f>
        <v>970000</v>
      </c>
      <c r="V23" s="6">
        <f t="shared" si="17"/>
        <v>1195000</v>
      </c>
      <c r="W23" s="6">
        <f t="shared" si="18"/>
        <v>1195000</v>
      </c>
      <c r="X23" s="16">
        <v>30000</v>
      </c>
      <c r="Y23" s="47">
        <f>+W23+X23</f>
        <v>1225000</v>
      </c>
    </row>
    <row r="24" s="3" customFormat="1" hidden="1" spans="1:25">
      <c r="A24" s="15">
        <f t="shared" si="9"/>
        <v>19</v>
      </c>
      <c r="B24" s="3">
        <f t="shared" si="7"/>
        <v>119</v>
      </c>
      <c r="C24" s="3" t="str">
        <f>VLOOKUP(B24,'[1]list-flat-report_SOVIII.2021-Ju'!$C$3:$G$116,5,0)</f>
        <v>Mrs. Ruchi H. Mehta</v>
      </c>
      <c r="D24" s="16">
        <v>10000000</v>
      </c>
      <c r="E24" s="16">
        <f t="shared" si="11"/>
        <v>6000000</v>
      </c>
      <c r="F24" s="16">
        <v>200000</v>
      </c>
      <c r="G24" s="17">
        <f t="shared" si="12"/>
        <v>5800000</v>
      </c>
      <c r="H24" s="16">
        <f t="shared" si="13"/>
        <v>1450000</v>
      </c>
      <c r="I24" s="26">
        <v>44287</v>
      </c>
      <c r="J24" s="27">
        <f t="shared" si="14"/>
        <v>1450000</v>
      </c>
      <c r="M24" s="16"/>
      <c r="N24" s="16"/>
      <c r="O24" s="16"/>
      <c r="P24" s="16"/>
      <c r="Q24" s="16"/>
      <c r="R24" s="16"/>
      <c r="S24" s="16">
        <f>J24+L22+N24+P24+R24</f>
        <v>2645000</v>
      </c>
      <c r="T24" s="16"/>
      <c r="U24" s="16"/>
      <c r="V24" s="16">
        <f t="shared" si="17"/>
        <v>0</v>
      </c>
      <c r="W24" s="16">
        <f t="shared" si="18"/>
        <v>2645000</v>
      </c>
      <c r="X24" s="16"/>
      <c r="Y24" s="47"/>
    </row>
    <row r="25" s="1" customFormat="1" spans="1:25">
      <c r="A25" s="18">
        <f t="shared" si="9"/>
        <v>20</v>
      </c>
      <c r="B25" s="1">
        <f t="shared" si="7"/>
        <v>120</v>
      </c>
      <c r="C25" s="1" t="str">
        <f>VLOOKUP(B25,'[1]list-flat-report_SOVIII.2021-Ju'!$C$3:$G$116,5,0)</f>
        <v>Modi Housing Pvt Ltd.</v>
      </c>
      <c r="D25" s="6">
        <v>8300000</v>
      </c>
      <c r="E25" s="6">
        <f t="shared" si="11"/>
        <v>4980000</v>
      </c>
      <c r="F25" s="6">
        <v>200000</v>
      </c>
      <c r="G25" s="19">
        <f t="shared" si="12"/>
        <v>4780000</v>
      </c>
      <c r="H25" s="6">
        <f t="shared" si="13"/>
        <v>1195000</v>
      </c>
      <c r="I25" s="31">
        <v>44310</v>
      </c>
      <c r="J25" s="29">
        <f t="shared" si="14"/>
        <v>1195000</v>
      </c>
      <c r="K25" s="31"/>
      <c r="L25" s="29"/>
      <c r="M25" s="6"/>
      <c r="N25" s="6"/>
      <c r="O25" s="16"/>
      <c r="P25" s="16"/>
      <c r="Q25" s="16"/>
      <c r="R25" s="16"/>
      <c r="S25" s="6">
        <f t="shared" ref="S25:S44" si="19">J25+L25+N25+P25+R25</f>
        <v>1195000</v>
      </c>
      <c r="T25" s="6"/>
      <c r="U25" s="6">
        <v>1195000</v>
      </c>
      <c r="V25" s="6">
        <f t="shared" si="17"/>
        <v>1195000</v>
      </c>
      <c r="W25" s="6">
        <f t="shared" si="18"/>
        <v>0</v>
      </c>
      <c r="X25" s="16">
        <v>1225000</v>
      </c>
      <c r="Y25" s="47">
        <f>+W25+X25</f>
        <v>1225000</v>
      </c>
    </row>
    <row r="26" s="3" customFormat="1" hidden="1" spans="1:24">
      <c r="A26" s="15">
        <f t="shared" si="9"/>
        <v>21</v>
      </c>
      <c r="B26" s="3">
        <f t="shared" si="7"/>
        <v>121</v>
      </c>
      <c r="C26" s="3" t="str">
        <f>VLOOKUP(B26,'[1]list-flat-report_SOVIII.2021-Ju'!$C$3:$G$116,5,0)</f>
        <v>Mr. Sudhir U. Mehta</v>
      </c>
      <c r="D26" s="16">
        <v>9100000</v>
      </c>
      <c r="E26" s="16">
        <f t="shared" si="11"/>
        <v>5460000</v>
      </c>
      <c r="F26" s="16">
        <v>200000</v>
      </c>
      <c r="G26" s="17">
        <f t="shared" si="12"/>
        <v>5260000</v>
      </c>
      <c r="H26" s="16">
        <f t="shared" si="13"/>
        <v>1315000</v>
      </c>
      <c r="I26" s="30">
        <v>44292</v>
      </c>
      <c r="J26" s="27">
        <f t="shared" si="14"/>
        <v>1315000</v>
      </c>
      <c r="K26" s="30"/>
      <c r="L26" s="27"/>
      <c r="M26" s="16"/>
      <c r="N26" s="16"/>
      <c r="O26" s="16"/>
      <c r="P26" s="16"/>
      <c r="Q26" s="16"/>
      <c r="R26" s="16"/>
      <c r="S26" s="16">
        <f t="shared" si="19"/>
        <v>1315000</v>
      </c>
      <c r="T26" s="16"/>
      <c r="U26" s="16">
        <v>0</v>
      </c>
      <c r="V26" s="16">
        <f t="shared" si="17"/>
        <v>0</v>
      </c>
      <c r="W26" s="16">
        <f t="shared" si="18"/>
        <v>1315000</v>
      </c>
      <c r="X26" s="16"/>
    </row>
    <row r="27" s="1" customFormat="1" spans="1:25">
      <c r="A27" s="18">
        <f t="shared" si="9"/>
        <v>22</v>
      </c>
      <c r="B27" s="1">
        <f t="shared" si="7"/>
        <v>122</v>
      </c>
      <c r="C27" s="1" t="str">
        <f>VLOOKUP(B27,'[1]list-flat-report_SOVIII.2021-Ju'!$C$3:$G$116,5,0)</f>
        <v>Modi Housing Pvt Ltd.</v>
      </c>
      <c r="D27" s="6">
        <v>8200000</v>
      </c>
      <c r="E27" s="6">
        <f t="shared" si="11"/>
        <v>4920000</v>
      </c>
      <c r="F27" s="6">
        <v>200000</v>
      </c>
      <c r="G27" s="19">
        <f t="shared" si="12"/>
        <v>4720000</v>
      </c>
      <c r="H27" s="6">
        <f t="shared" si="13"/>
        <v>1180000</v>
      </c>
      <c r="I27" s="28">
        <v>44227</v>
      </c>
      <c r="J27" s="36">
        <v>1180000</v>
      </c>
      <c r="K27" s="31">
        <v>44426</v>
      </c>
      <c r="L27" s="29">
        <f t="shared" ref="L27:L30" si="20">H27</f>
        <v>1180000</v>
      </c>
      <c r="M27" s="6"/>
      <c r="N27" s="6"/>
      <c r="O27" s="16"/>
      <c r="P27" s="16"/>
      <c r="Q27" s="16"/>
      <c r="R27" s="16"/>
      <c r="S27" s="6">
        <f t="shared" si="19"/>
        <v>2360000</v>
      </c>
      <c r="T27" s="6">
        <v>1225000</v>
      </c>
      <c r="U27" s="6">
        <f>-45000+1135000</f>
        <v>1090000</v>
      </c>
      <c r="V27" s="6">
        <f t="shared" si="17"/>
        <v>2315000</v>
      </c>
      <c r="W27" s="6">
        <f>S27-V27-45000</f>
        <v>0</v>
      </c>
      <c r="X27" s="16">
        <v>45000</v>
      </c>
      <c r="Y27" s="47">
        <f t="shared" ref="Y27:Y31" si="21">+W27+X27</f>
        <v>45000</v>
      </c>
    </row>
    <row r="28" s="3" customFormat="1" hidden="1" spans="1:24">
      <c r="A28" s="15">
        <f t="shared" si="9"/>
        <v>23</v>
      </c>
      <c r="B28" s="3">
        <f t="shared" si="7"/>
        <v>123</v>
      </c>
      <c r="C28" s="3" t="str">
        <f>VLOOKUP(B28,'[1]list-flat-report_SOVIII.2021-Ju'!$C$3:$G$116,5,0)</f>
        <v>Mr. Sudhir U. Mehta</v>
      </c>
      <c r="D28" s="16">
        <v>8111000</v>
      </c>
      <c r="E28" s="16">
        <f t="shared" si="11"/>
        <v>4866600</v>
      </c>
      <c r="F28" s="16">
        <v>200000</v>
      </c>
      <c r="G28" s="17">
        <f t="shared" si="12"/>
        <v>4666600</v>
      </c>
      <c r="H28" s="16">
        <f t="shared" si="13"/>
        <v>1166650</v>
      </c>
      <c r="I28" s="26">
        <v>44227</v>
      </c>
      <c r="J28" s="37">
        <v>1166650</v>
      </c>
      <c r="K28" s="30">
        <v>44426</v>
      </c>
      <c r="L28" s="27">
        <f t="shared" si="20"/>
        <v>1166650</v>
      </c>
      <c r="M28" s="16"/>
      <c r="N28" s="16"/>
      <c r="O28" s="16"/>
      <c r="P28" s="16"/>
      <c r="Q28" s="16"/>
      <c r="R28" s="16"/>
      <c r="S28" s="16">
        <f t="shared" si="19"/>
        <v>2333300</v>
      </c>
      <c r="T28" s="16"/>
      <c r="U28" s="16">
        <v>0</v>
      </c>
      <c r="V28" s="16">
        <f t="shared" si="17"/>
        <v>0</v>
      </c>
      <c r="W28" s="16">
        <f t="shared" si="18"/>
        <v>2333300</v>
      </c>
      <c r="X28" s="16"/>
    </row>
    <row r="29" s="1" customFormat="1" spans="1:25">
      <c r="A29" s="18">
        <f t="shared" si="9"/>
        <v>24</v>
      </c>
      <c r="B29" s="1">
        <f t="shared" si="7"/>
        <v>124</v>
      </c>
      <c r="C29" s="1" t="str">
        <f>VLOOKUP(B29,'[1]list-flat-report_SOVIII.2021-Ju'!$C$3:$G$116,5,0)</f>
        <v>Modi Housing Pvt Ltd.</v>
      </c>
      <c r="D29" s="6">
        <v>8500000</v>
      </c>
      <c r="E29" s="6">
        <f t="shared" si="11"/>
        <v>5100000</v>
      </c>
      <c r="F29" s="6">
        <v>200000</v>
      </c>
      <c r="G29" s="19">
        <f t="shared" si="12"/>
        <v>4900000</v>
      </c>
      <c r="H29" s="6">
        <f t="shared" si="13"/>
        <v>1225000</v>
      </c>
      <c r="I29" s="28">
        <v>44227</v>
      </c>
      <c r="J29" s="36">
        <v>1225000</v>
      </c>
      <c r="K29" s="31">
        <v>44426</v>
      </c>
      <c r="L29" s="29">
        <f t="shared" si="20"/>
        <v>1225000</v>
      </c>
      <c r="M29" s="6"/>
      <c r="N29" s="6"/>
      <c r="O29" s="16"/>
      <c r="P29" s="16"/>
      <c r="Q29" s="16"/>
      <c r="R29" s="16"/>
      <c r="S29" s="6">
        <f t="shared" si="19"/>
        <v>2450000</v>
      </c>
      <c r="T29" s="6"/>
      <c r="U29" s="6">
        <f>1225000+500000-500000+1225000</f>
        <v>2450000</v>
      </c>
      <c r="V29" s="6">
        <f t="shared" si="17"/>
        <v>2450000</v>
      </c>
      <c r="W29" s="6">
        <f t="shared" si="18"/>
        <v>0</v>
      </c>
      <c r="X29" s="16">
        <v>500000</v>
      </c>
      <c r="Y29" s="47">
        <f t="shared" si="21"/>
        <v>500000</v>
      </c>
    </row>
    <row r="30" s="3" customFormat="1" hidden="1" spans="1:24">
      <c r="A30" s="15">
        <f t="shared" si="9"/>
        <v>25</v>
      </c>
      <c r="B30" s="3">
        <f t="shared" si="7"/>
        <v>125</v>
      </c>
      <c r="C30" s="3" t="str">
        <f>VLOOKUP(B30,'[1]list-flat-report_SOVIII.2021-Ju'!$C$3:$G$116,5,0)</f>
        <v>Mrs. Tejal T. Mehta</v>
      </c>
      <c r="D30" s="16">
        <v>8850000</v>
      </c>
      <c r="E30" s="16">
        <f t="shared" si="11"/>
        <v>5310000</v>
      </c>
      <c r="F30" s="16">
        <v>200000</v>
      </c>
      <c r="G30" s="17">
        <f t="shared" si="12"/>
        <v>5110000</v>
      </c>
      <c r="H30" s="16">
        <f t="shared" si="13"/>
        <v>1277500</v>
      </c>
      <c r="I30" s="26">
        <v>44227</v>
      </c>
      <c r="J30" s="37">
        <v>1277500</v>
      </c>
      <c r="K30" s="26">
        <v>44372</v>
      </c>
      <c r="L30" s="27">
        <f t="shared" si="20"/>
        <v>1277500</v>
      </c>
      <c r="M30" s="16"/>
      <c r="N30" s="16"/>
      <c r="O30" s="16"/>
      <c r="P30" s="16"/>
      <c r="Q30" s="16"/>
      <c r="R30" s="16"/>
      <c r="S30" s="16">
        <f t="shared" si="19"/>
        <v>2555000</v>
      </c>
      <c r="T30" s="16"/>
      <c r="U30" s="16">
        <v>0</v>
      </c>
      <c r="V30" s="16">
        <f t="shared" si="17"/>
        <v>0</v>
      </c>
      <c r="W30" s="16">
        <f t="shared" si="18"/>
        <v>2555000</v>
      </c>
      <c r="X30" s="16"/>
    </row>
    <row r="31" s="1" customFormat="1" spans="1:25">
      <c r="A31" s="18">
        <f t="shared" si="9"/>
        <v>26</v>
      </c>
      <c r="B31" s="1">
        <f t="shared" si="7"/>
        <v>126</v>
      </c>
      <c r="C31" s="1" t="str">
        <f>VLOOKUP(B31,'[1]list-flat-report_SOVIII.2021-Ju'!$C$3:$G$116,5,0)</f>
        <v>Modi Housing Pvt Ltd.</v>
      </c>
      <c r="D31" s="6">
        <v>8200000</v>
      </c>
      <c r="E31" s="6">
        <f t="shared" si="11"/>
        <v>4920000</v>
      </c>
      <c r="F31" s="6">
        <v>200000</v>
      </c>
      <c r="G31" s="19">
        <f t="shared" si="12"/>
        <v>4720000</v>
      </c>
      <c r="H31" s="6">
        <f t="shared" si="13"/>
        <v>1180000</v>
      </c>
      <c r="I31" s="28">
        <v>44227</v>
      </c>
      <c r="J31" s="36">
        <f t="shared" ref="J31:J37" si="22">H31</f>
        <v>1180000</v>
      </c>
      <c r="K31" s="28">
        <v>44227</v>
      </c>
      <c r="L31" s="29">
        <f t="shared" ref="L31:L33" si="23">H31</f>
        <v>1180000</v>
      </c>
      <c r="M31" s="28">
        <v>44384</v>
      </c>
      <c r="N31" s="6">
        <f t="shared" ref="N31:N36" si="24">H31</f>
        <v>1180000</v>
      </c>
      <c r="O31" s="16"/>
      <c r="P31" s="16"/>
      <c r="Q31" s="16"/>
      <c r="R31" s="16"/>
      <c r="S31" s="6">
        <f t="shared" si="19"/>
        <v>3540000</v>
      </c>
      <c r="T31" s="6">
        <v>225000</v>
      </c>
      <c r="U31" s="6">
        <f>1000000+3195000+1180000</f>
        <v>5375000</v>
      </c>
      <c r="V31" s="6">
        <f>T31+U31-2060000</f>
        <v>3540000</v>
      </c>
      <c r="W31" s="6">
        <f t="shared" si="18"/>
        <v>0</v>
      </c>
      <c r="X31" s="16">
        <v>2060000</v>
      </c>
      <c r="Y31" s="47">
        <f t="shared" si="21"/>
        <v>2060000</v>
      </c>
    </row>
    <row r="32" s="3" customFormat="1" hidden="1" spans="1:24">
      <c r="A32" s="15">
        <f t="shared" si="9"/>
        <v>27</v>
      </c>
      <c r="B32" s="3">
        <f t="shared" si="7"/>
        <v>127</v>
      </c>
      <c r="C32" s="3" t="str">
        <f>VLOOKUP(B32,'[1]list-flat-report_SOVIII.2021-Ju'!$C$3:$G$116,5,0)</f>
        <v>Mrs. Aaradhana S. Mehta</v>
      </c>
      <c r="D32" s="16">
        <v>8200000</v>
      </c>
      <c r="E32" s="16">
        <f t="shared" si="11"/>
        <v>4920000</v>
      </c>
      <c r="F32" s="16">
        <v>200000</v>
      </c>
      <c r="G32" s="17">
        <f t="shared" si="12"/>
        <v>4720000</v>
      </c>
      <c r="H32" s="16">
        <f t="shared" si="13"/>
        <v>1180000</v>
      </c>
      <c r="I32" s="26">
        <v>44227</v>
      </c>
      <c r="J32" s="37">
        <f t="shared" si="22"/>
        <v>1180000</v>
      </c>
      <c r="K32" s="26">
        <v>44227</v>
      </c>
      <c r="L32" s="27">
        <f t="shared" si="23"/>
        <v>1180000</v>
      </c>
      <c r="M32" s="26">
        <v>44428</v>
      </c>
      <c r="N32" s="16">
        <f t="shared" si="24"/>
        <v>1180000</v>
      </c>
      <c r="O32" s="16"/>
      <c r="P32" s="16"/>
      <c r="Q32" s="16"/>
      <c r="R32" s="16"/>
      <c r="S32" s="16">
        <f t="shared" si="19"/>
        <v>3540000</v>
      </c>
      <c r="T32" s="16"/>
      <c r="U32" s="16">
        <v>0</v>
      </c>
      <c r="V32" s="16">
        <f>T32+U32</f>
        <v>0</v>
      </c>
      <c r="W32" s="16">
        <f t="shared" si="18"/>
        <v>3540000</v>
      </c>
      <c r="X32" s="16"/>
    </row>
    <row r="33" s="1" customFormat="1" spans="1:25">
      <c r="A33" s="18">
        <f t="shared" si="9"/>
        <v>28</v>
      </c>
      <c r="B33" s="1">
        <f t="shared" si="7"/>
        <v>128</v>
      </c>
      <c r="C33" s="1" t="str">
        <f>VLOOKUP(B33,'[1]list-flat-report_SOVIII.2021-Ju'!$C$3:$G$116,5,0)</f>
        <v>Modi Housing Pvt Ltd.</v>
      </c>
      <c r="D33" s="6">
        <v>9810000</v>
      </c>
      <c r="E33" s="6">
        <f t="shared" si="11"/>
        <v>5886000</v>
      </c>
      <c r="F33" s="6">
        <v>200000</v>
      </c>
      <c r="G33" s="19">
        <f t="shared" si="12"/>
        <v>5686000</v>
      </c>
      <c r="H33" s="6">
        <f t="shared" si="13"/>
        <v>1421500</v>
      </c>
      <c r="I33" s="28">
        <v>44347</v>
      </c>
      <c r="J33" s="36">
        <f t="shared" si="22"/>
        <v>1421500</v>
      </c>
      <c r="K33" s="28">
        <v>44347</v>
      </c>
      <c r="L33" s="29">
        <f t="shared" si="23"/>
        <v>1421500</v>
      </c>
      <c r="M33" s="6"/>
      <c r="N33" s="6"/>
      <c r="O33" s="16"/>
      <c r="P33" s="16"/>
      <c r="Q33" s="16"/>
      <c r="R33" s="16"/>
      <c r="S33" s="6">
        <f t="shared" si="19"/>
        <v>2843000</v>
      </c>
      <c r="T33" s="6">
        <v>0</v>
      </c>
      <c r="U33" s="6">
        <v>0</v>
      </c>
      <c r="V33" s="6">
        <v>2843000</v>
      </c>
      <c r="W33" s="6">
        <f t="shared" si="18"/>
        <v>0</v>
      </c>
      <c r="X33" s="16"/>
      <c r="Y33" s="3"/>
    </row>
    <row r="34" s="1" customFormat="1" spans="1:25">
      <c r="A34" s="18">
        <f t="shared" si="9"/>
        <v>29</v>
      </c>
      <c r="B34" s="1">
        <f t="shared" si="7"/>
        <v>129</v>
      </c>
      <c r="C34" s="1" t="str">
        <f>VLOOKUP(B34,'[1]list-flat-report_SOVIII.2021-Ju'!$C$3:$G$116,5,0)</f>
        <v>Modi Housing Pvt Ltd.</v>
      </c>
      <c r="D34" s="6">
        <v>10120000</v>
      </c>
      <c r="E34" s="6">
        <f t="shared" si="11"/>
        <v>6072000</v>
      </c>
      <c r="F34" s="6">
        <v>200000</v>
      </c>
      <c r="G34" s="19">
        <f t="shared" si="12"/>
        <v>5872000</v>
      </c>
      <c r="H34" s="6">
        <f t="shared" si="13"/>
        <v>1468000</v>
      </c>
      <c r="I34" s="28">
        <v>44347</v>
      </c>
      <c r="J34" s="36">
        <f t="shared" si="22"/>
        <v>1468000</v>
      </c>
      <c r="K34" s="28"/>
      <c r="L34" s="29"/>
      <c r="M34" s="6"/>
      <c r="N34" s="6"/>
      <c r="O34" s="16"/>
      <c r="P34" s="16"/>
      <c r="Q34" s="16"/>
      <c r="R34" s="16"/>
      <c r="S34" s="6">
        <f t="shared" si="19"/>
        <v>1468000</v>
      </c>
      <c r="T34" s="6"/>
      <c r="U34" s="6"/>
      <c r="V34" s="6">
        <v>1468000</v>
      </c>
      <c r="W34" s="6">
        <f t="shared" si="18"/>
        <v>0</v>
      </c>
      <c r="X34" s="16"/>
      <c r="Y34" s="3"/>
    </row>
    <row r="35" s="3" customFormat="1" hidden="1" spans="1:24">
      <c r="A35" s="15">
        <f t="shared" si="9"/>
        <v>30</v>
      </c>
      <c r="B35" s="3">
        <f t="shared" si="7"/>
        <v>130</v>
      </c>
      <c r="C35" s="3" t="str">
        <f>VLOOKUP(B35,'[1]list-flat-report_SOVIII.2021-Ju'!$C$3:$G$116,5,0)</f>
        <v>Mrs. Aaradhana S. Mehta</v>
      </c>
      <c r="D35" s="16">
        <v>8300000</v>
      </c>
      <c r="E35" s="16">
        <f t="shared" ref="E35:E45" si="25">D35*60%</f>
        <v>4980000</v>
      </c>
      <c r="F35" s="16">
        <v>200000</v>
      </c>
      <c r="G35" s="17">
        <f t="shared" ref="G35:G45" si="26">E35-F35</f>
        <v>4780000</v>
      </c>
      <c r="H35" s="16">
        <f t="shared" ref="H35:H45" si="27">G35/4</f>
        <v>1195000</v>
      </c>
      <c r="I35" s="26">
        <v>44227</v>
      </c>
      <c r="J35" s="37">
        <f t="shared" si="22"/>
        <v>1195000</v>
      </c>
      <c r="K35" s="26">
        <v>44227</v>
      </c>
      <c r="L35" s="27">
        <f t="shared" ref="L35:L40" si="28">H35</f>
        <v>1195000</v>
      </c>
      <c r="M35" s="26">
        <v>44286</v>
      </c>
      <c r="N35" s="16">
        <f t="shared" si="24"/>
        <v>1195000</v>
      </c>
      <c r="O35" s="16"/>
      <c r="P35" s="16"/>
      <c r="Q35" s="16"/>
      <c r="R35" s="16"/>
      <c r="S35" s="16">
        <f t="shared" si="19"/>
        <v>3585000</v>
      </c>
      <c r="T35" s="16"/>
      <c r="U35" s="16">
        <v>0</v>
      </c>
      <c r="V35" s="16">
        <f>T35+U35</f>
        <v>0</v>
      </c>
      <c r="W35" s="16">
        <f t="shared" ref="W35:W44" si="29">S35-V35</f>
        <v>3585000</v>
      </c>
      <c r="X35" s="16"/>
    </row>
    <row r="36" s="1" customFormat="1" spans="1:25">
      <c r="A36" s="18">
        <f t="shared" si="9"/>
        <v>31</v>
      </c>
      <c r="B36" s="1">
        <f t="shared" si="7"/>
        <v>131</v>
      </c>
      <c r="C36" s="1" t="str">
        <f>VLOOKUP(B36,'[1]list-flat-report_SOVIII.2021-Ju'!$C$3:$G$116,5,0)</f>
        <v>Modi Housing Pvt Ltd.</v>
      </c>
      <c r="D36" s="6">
        <v>8300000</v>
      </c>
      <c r="E36" s="6">
        <f t="shared" si="25"/>
        <v>4980000</v>
      </c>
      <c r="F36" s="6">
        <v>200000</v>
      </c>
      <c r="G36" s="19">
        <f t="shared" si="26"/>
        <v>4780000</v>
      </c>
      <c r="H36" s="6">
        <f t="shared" si="27"/>
        <v>1195000</v>
      </c>
      <c r="I36" s="28">
        <v>44227</v>
      </c>
      <c r="J36" s="36">
        <f t="shared" si="22"/>
        <v>1195000</v>
      </c>
      <c r="K36" s="28">
        <v>44227</v>
      </c>
      <c r="L36" s="29">
        <f t="shared" si="28"/>
        <v>1195000</v>
      </c>
      <c r="M36" s="28">
        <v>44286</v>
      </c>
      <c r="N36" s="29">
        <f t="shared" si="24"/>
        <v>1195000</v>
      </c>
      <c r="O36" s="16"/>
      <c r="P36" s="16"/>
      <c r="Q36" s="16"/>
      <c r="R36" s="16"/>
      <c r="S36" s="6">
        <f t="shared" si="19"/>
        <v>3585000</v>
      </c>
      <c r="T36" s="6">
        <v>0</v>
      </c>
      <c r="U36" s="6">
        <f>1000000+3255000-2090000-670000</f>
        <v>1495000</v>
      </c>
      <c r="V36" s="6">
        <f>T36+U36+2090000</f>
        <v>3585000</v>
      </c>
      <c r="W36" s="6">
        <f t="shared" si="29"/>
        <v>0</v>
      </c>
      <c r="X36" s="16">
        <v>0</v>
      </c>
      <c r="Y36" s="47">
        <f>+W36+X36</f>
        <v>0</v>
      </c>
    </row>
    <row r="37" s="3" customFormat="1" hidden="1" spans="1:24">
      <c r="A37" s="15">
        <f t="shared" si="9"/>
        <v>32</v>
      </c>
      <c r="B37" s="3">
        <f t="shared" si="7"/>
        <v>132</v>
      </c>
      <c r="C37" s="3" t="str">
        <f>VLOOKUP(B37,'[1]list-flat-report_SOVIII.2021-Ju'!$C$3:$G$116,5,0)</f>
        <v>Mrs. Aaradhana S. Mehta</v>
      </c>
      <c r="D37" s="16">
        <v>8300000</v>
      </c>
      <c r="E37" s="16">
        <f t="shared" si="25"/>
        <v>4980000</v>
      </c>
      <c r="F37" s="16">
        <v>200000</v>
      </c>
      <c r="G37" s="17">
        <f t="shared" si="26"/>
        <v>4780000</v>
      </c>
      <c r="H37" s="16">
        <f t="shared" si="27"/>
        <v>1195000</v>
      </c>
      <c r="I37" s="26">
        <v>44227</v>
      </c>
      <c r="J37" s="37">
        <f t="shared" si="22"/>
        <v>1195000</v>
      </c>
      <c r="K37" s="26">
        <v>44426</v>
      </c>
      <c r="L37" s="27">
        <f t="shared" si="28"/>
        <v>1195000</v>
      </c>
      <c r="M37" s="26"/>
      <c r="N37" s="26"/>
      <c r="O37" s="16"/>
      <c r="P37" s="16"/>
      <c r="Q37" s="16"/>
      <c r="R37" s="16"/>
      <c r="S37" s="16">
        <f t="shared" si="19"/>
        <v>2390000</v>
      </c>
      <c r="T37" s="16"/>
      <c r="U37" s="16">
        <v>1195000</v>
      </c>
      <c r="V37" s="16">
        <f t="shared" ref="V37:V43" si="30">T37+U37</f>
        <v>1195000</v>
      </c>
      <c r="W37" s="16">
        <f t="shared" si="29"/>
        <v>1195000</v>
      </c>
      <c r="X37" s="16"/>
    </row>
    <row r="38" s="1" customFormat="1" spans="1:25">
      <c r="A38" s="18">
        <f t="shared" si="9"/>
        <v>33</v>
      </c>
      <c r="B38" s="1">
        <f t="shared" si="7"/>
        <v>133</v>
      </c>
      <c r="C38" s="1" t="str">
        <f>VLOOKUP(B38,'[1]list-flat-report_SOVIII.2021-Ju'!$C$3:$G$116,5,0)</f>
        <v>Modi Housing Pvt Ltd.</v>
      </c>
      <c r="D38" s="6">
        <v>8300000</v>
      </c>
      <c r="E38" s="6">
        <f t="shared" si="25"/>
        <v>4980000</v>
      </c>
      <c r="F38" s="6">
        <v>200000</v>
      </c>
      <c r="G38" s="19">
        <f t="shared" si="26"/>
        <v>4780000</v>
      </c>
      <c r="H38" s="6">
        <f t="shared" si="27"/>
        <v>1195000</v>
      </c>
      <c r="I38" s="28">
        <v>44227</v>
      </c>
      <c r="J38" s="36">
        <v>1195000</v>
      </c>
      <c r="K38" s="28">
        <v>44426</v>
      </c>
      <c r="L38" s="29">
        <f t="shared" si="28"/>
        <v>1195000</v>
      </c>
      <c r="M38" s="6"/>
      <c r="N38" s="6"/>
      <c r="O38" s="16"/>
      <c r="P38" s="16"/>
      <c r="Q38" s="16"/>
      <c r="R38" s="16"/>
      <c r="S38" s="6">
        <f t="shared" si="19"/>
        <v>2390000</v>
      </c>
      <c r="T38" s="6">
        <v>1225000</v>
      </c>
      <c r="U38" s="6">
        <f>-30000+1195000</f>
        <v>1165000</v>
      </c>
      <c r="V38" s="6">
        <f>T38+U38-30000</f>
        <v>2360000</v>
      </c>
      <c r="W38" s="6">
        <f>S38-V38-30000</f>
        <v>0</v>
      </c>
      <c r="X38" s="16">
        <v>30000</v>
      </c>
      <c r="Y38" s="47">
        <f>+W38+X38</f>
        <v>30000</v>
      </c>
    </row>
    <row r="39" s="3" customFormat="1" hidden="1" spans="1:24">
      <c r="A39" s="15">
        <f t="shared" si="9"/>
        <v>34</v>
      </c>
      <c r="B39" s="3">
        <f t="shared" si="7"/>
        <v>134</v>
      </c>
      <c r="C39" s="3" t="str">
        <f>VLOOKUP(B39,'[1]list-flat-report_SOVIII.2021-Ju'!$C$3:$G$116,5,0)</f>
        <v>Mr. Karna S. Mehta</v>
      </c>
      <c r="D39" s="16">
        <v>8700000</v>
      </c>
      <c r="E39" s="16">
        <f t="shared" si="25"/>
        <v>5220000</v>
      </c>
      <c r="F39" s="16">
        <v>200000</v>
      </c>
      <c r="G39" s="17">
        <f t="shared" si="26"/>
        <v>5020000</v>
      </c>
      <c r="H39" s="16">
        <f t="shared" si="27"/>
        <v>1255000</v>
      </c>
      <c r="I39" s="26"/>
      <c r="J39" s="37"/>
      <c r="K39" s="26">
        <v>44426</v>
      </c>
      <c r="L39" s="27">
        <f t="shared" si="28"/>
        <v>1255000</v>
      </c>
      <c r="M39" s="16"/>
      <c r="N39" s="16"/>
      <c r="O39" s="16"/>
      <c r="P39" s="16"/>
      <c r="Q39" s="16"/>
      <c r="R39" s="16"/>
      <c r="S39" s="16">
        <f t="shared" si="19"/>
        <v>1255000</v>
      </c>
      <c r="T39" s="16"/>
      <c r="U39" s="16">
        <v>0</v>
      </c>
      <c r="V39" s="16">
        <f t="shared" si="30"/>
        <v>0</v>
      </c>
      <c r="W39" s="16">
        <f t="shared" si="29"/>
        <v>1255000</v>
      </c>
      <c r="X39" s="16"/>
    </row>
    <row r="40" s="1" customFormat="1" spans="1:25">
      <c r="A40" s="18">
        <f t="shared" si="9"/>
        <v>35</v>
      </c>
      <c r="B40" s="1">
        <f t="shared" si="7"/>
        <v>135</v>
      </c>
      <c r="C40" s="1" t="str">
        <f>VLOOKUP(B40,'[1]list-flat-report_SOVIII.2021-Ju'!$C$3:$G$116,5,0)</f>
        <v>Modi Housing Pvt Ltd.</v>
      </c>
      <c r="D40" s="6">
        <v>9100000</v>
      </c>
      <c r="E40" s="6">
        <f t="shared" si="25"/>
        <v>5460000</v>
      </c>
      <c r="F40" s="6">
        <v>200000</v>
      </c>
      <c r="G40" s="19">
        <f t="shared" si="26"/>
        <v>5260000</v>
      </c>
      <c r="H40" s="6">
        <f t="shared" si="27"/>
        <v>1315000</v>
      </c>
      <c r="I40" s="28">
        <v>44255</v>
      </c>
      <c r="J40" s="36">
        <v>1315000</v>
      </c>
      <c r="K40" s="28">
        <v>44426</v>
      </c>
      <c r="L40" s="29">
        <f t="shared" si="28"/>
        <v>1315000</v>
      </c>
      <c r="M40" s="6"/>
      <c r="N40" s="6"/>
      <c r="O40" s="16"/>
      <c r="P40" s="16"/>
      <c r="Q40" s="16"/>
      <c r="R40" s="16"/>
      <c r="S40" s="6">
        <f t="shared" si="19"/>
        <v>2630000</v>
      </c>
      <c r="T40" s="6"/>
      <c r="U40" s="10">
        <f>1315000+1315000</f>
        <v>2630000</v>
      </c>
      <c r="V40" s="6">
        <f t="shared" si="30"/>
        <v>2630000</v>
      </c>
      <c r="W40" s="6">
        <f t="shared" si="29"/>
        <v>0</v>
      </c>
      <c r="X40" s="16">
        <v>0</v>
      </c>
      <c r="Y40" s="47">
        <f>+W40+X40</f>
        <v>0</v>
      </c>
    </row>
    <row r="41" s="3" customFormat="1" hidden="1" spans="1:25">
      <c r="A41" s="15">
        <f t="shared" si="9"/>
        <v>36</v>
      </c>
      <c r="B41" s="3">
        <f t="shared" si="7"/>
        <v>136</v>
      </c>
      <c r="C41" s="3" t="str">
        <f>VLOOKUP(B41,'[1]list-flat-report_SOVIII.2021-Ju'!$C$3:$G$116,5,0)</f>
        <v>Mr. Karna S. Mehta</v>
      </c>
      <c r="D41" s="16">
        <v>0</v>
      </c>
      <c r="E41" s="16"/>
      <c r="F41" s="16"/>
      <c r="G41" s="17"/>
      <c r="H41" s="16"/>
      <c r="I41" s="26"/>
      <c r="J41" s="37"/>
      <c r="K41" s="30"/>
      <c r="L41" s="27"/>
      <c r="M41" s="16"/>
      <c r="N41" s="16"/>
      <c r="O41" s="16"/>
      <c r="P41" s="16"/>
      <c r="Q41" s="16"/>
      <c r="R41" s="16"/>
      <c r="S41" s="16">
        <f t="shared" si="19"/>
        <v>0</v>
      </c>
      <c r="T41" s="16"/>
      <c r="U41" s="16">
        <v>0</v>
      </c>
      <c r="V41" s="16">
        <f t="shared" si="30"/>
        <v>0</v>
      </c>
      <c r="W41" s="16">
        <f t="shared" si="29"/>
        <v>0</v>
      </c>
      <c r="X41" s="16"/>
      <c r="Y41" s="47"/>
    </row>
    <row r="42" s="1" customFormat="1" spans="1:25">
      <c r="A42" s="18">
        <f t="shared" si="9"/>
        <v>37</v>
      </c>
      <c r="B42" s="1">
        <f t="shared" si="7"/>
        <v>137</v>
      </c>
      <c r="C42" s="1" t="str">
        <f>VLOOKUP(B42,'[1]list-flat-report_SOVIII.2021-Ju'!$C$3:$G$116,5,0)</f>
        <v>Modi Housing Pvt Ltd.</v>
      </c>
      <c r="D42" s="6">
        <v>9000000</v>
      </c>
      <c r="E42" s="6">
        <f>D42*60%</f>
        <v>5400000</v>
      </c>
      <c r="F42" s="6">
        <v>200000</v>
      </c>
      <c r="G42" s="19">
        <f>E42-F42</f>
        <v>5200000</v>
      </c>
      <c r="H42" s="6">
        <f>G42/4</f>
        <v>1300000</v>
      </c>
      <c r="I42" s="28">
        <v>44394</v>
      </c>
      <c r="J42" s="36">
        <f>H42</f>
        <v>1300000</v>
      </c>
      <c r="K42" s="38">
        <v>44520</v>
      </c>
      <c r="L42" s="39">
        <f t="shared" ref="L42:L48" si="31">H42</f>
        <v>1300000</v>
      </c>
      <c r="M42" s="6"/>
      <c r="N42" s="6"/>
      <c r="O42" s="16"/>
      <c r="P42" s="16"/>
      <c r="Q42" s="16"/>
      <c r="R42" s="16"/>
      <c r="S42" s="6">
        <f t="shared" si="19"/>
        <v>2600000</v>
      </c>
      <c r="T42" s="6">
        <v>0</v>
      </c>
      <c r="U42" s="10">
        <v>1300000</v>
      </c>
      <c r="V42" s="6">
        <f t="shared" si="30"/>
        <v>1300000</v>
      </c>
      <c r="W42" s="6">
        <f t="shared" si="29"/>
        <v>1300000</v>
      </c>
      <c r="X42" s="16"/>
      <c r="Y42" s="47"/>
    </row>
    <row r="43" s="3" customFormat="1" hidden="1" spans="1:25">
      <c r="A43" s="15">
        <f t="shared" si="9"/>
        <v>38</v>
      </c>
      <c r="B43" s="3">
        <f t="shared" si="7"/>
        <v>138</v>
      </c>
      <c r="C43" s="3" t="str">
        <f>VLOOKUP(B43,'[1]list-flat-report_SOVIII.2021-Ju'!$C$3:$G$116,5,0)</f>
        <v>Smt. Rajashri K Mehta</v>
      </c>
      <c r="D43" s="16">
        <v>9000000</v>
      </c>
      <c r="E43" s="16">
        <f t="shared" ref="E43:E46" si="32">D43*60%</f>
        <v>5400000</v>
      </c>
      <c r="F43" s="16">
        <v>200000</v>
      </c>
      <c r="G43" s="17">
        <f t="shared" ref="G43:G46" si="33">E43-F43</f>
        <v>5200000</v>
      </c>
      <c r="H43" s="16">
        <f t="shared" ref="H43:H46" si="34">G43/4</f>
        <v>1300000</v>
      </c>
      <c r="I43" s="26">
        <v>44349</v>
      </c>
      <c r="J43" s="37">
        <f t="shared" ref="J43:J50" si="35">H43</f>
        <v>1300000</v>
      </c>
      <c r="K43" s="38">
        <v>44487</v>
      </c>
      <c r="L43" s="39">
        <f t="shared" si="31"/>
        <v>1300000</v>
      </c>
      <c r="M43" s="16"/>
      <c r="N43" s="16"/>
      <c r="O43" s="16"/>
      <c r="P43" s="16"/>
      <c r="Q43" s="16"/>
      <c r="R43" s="16"/>
      <c r="S43" s="16">
        <f t="shared" si="19"/>
        <v>2600000</v>
      </c>
      <c r="T43" s="16"/>
      <c r="U43" s="16">
        <v>0</v>
      </c>
      <c r="V43" s="16">
        <f t="shared" si="30"/>
        <v>0</v>
      </c>
      <c r="W43" s="16">
        <f t="shared" si="29"/>
        <v>2600000</v>
      </c>
      <c r="X43" s="16"/>
      <c r="Y43" s="47"/>
    </row>
    <row r="44" s="1" customFormat="1" spans="1:25">
      <c r="A44" s="18">
        <f t="shared" si="9"/>
        <v>39</v>
      </c>
      <c r="B44" s="1">
        <f t="shared" si="7"/>
        <v>139</v>
      </c>
      <c r="C44" s="1" t="str">
        <f>VLOOKUP(B44,'[1]list-flat-report_SOVIII.2021-Ju'!$C$3:$G$116,5,0)</f>
        <v>Modi Housing Pvt Ltd.</v>
      </c>
      <c r="D44" s="6">
        <v>9100000</v>
      </c>
      <c r="E44" s="6">
        <f t="shared" si="32"/>
        <v>5460000</v>
      </c>
      <c r="F44" s="6">
        <v>200000</v>
      </c>
      <c r="G44" s="19">
        <f t="shared" si="33"/>
        <v>5260000</v>
      </c>
      <c r="H44" s="6">
        <f t="shared" si="34"/>
        <v>1315000</v>
      </c>
      <c r="I44" s="28">
        <v>44286</v>
      </c>
      <c r="J44" s="36">
        <v>1315000</v>
      </c>
      <c r="K44" s="41">
        <v>44487</v>
      </c>
      <c r="L44" s="35">
        <f t="shared" si="31"/>
        <v>1315000</v>
      </c>
      <c r="M44" s="6"/>
      <c r="N44" s="6"/>
      <c r="O44" s="16"/>
      <c r="P44" s="16"/>
      <c r="Q44" s="16"/>
      <c r="R44" s="16"/>
      <c r="S44" s="6">
        <f t="shared" si="19"/>
        <v>2630000</v>
      </c>
      <c r="T44" s="6">
        <v>0</v>
      </c>
      <c r="U44" s="10">
        <f>1315000+1315000</f>
        <v>2630000</v>
      </c>
      <c r="V44" s="6">
        <f t="shared" ref="V44:V50" si="36">T44+U44</f>
        <v>2630000</v>
      </c>
      <c r="W44" s="6">
        <f t="shared" si="29"/>
        <v>0</v>
      </c>
      <c r="X44" s="16">
        <v>0</v>
      </c>
      <c r="Y44" s="47">
        <f>+W44+X44</f>
        <v>0</v>
      </c>
    </row>
    <row r="45" s="3" customFormat="1" hidden="1" spans="1:25">
      <c r="A45" s="15">
        <f t="shared" si="9"/>
        <v>40</v>
      </c>
      <c r="B45" s="3">
        <f t="shared" si="7"/>
        <v>140</v>
      </c>
      <c r="C45" s="3" t="str">
        <f>VLOOKUP(B45,'[1]list-flat-report_SOVIII.2021-Ju'!$C$3:$G$116,5,0)</f>
        <v>Smt. Rajashri K Mehta</v>
      </c>
      <c r="D45" s="16">
        <v>0</v>
      </c>
      <c r="E45" s="16"/>
      <c r="F45" s="16"/>
      <c r="G45" s="17"/>
      <c r="H45" s="16"/>
      <c r="I45" s="26"/>
      <c r="J45" s="37"/>
      <c r="K45" s="30"/>
      <c r="L45" s="27"/>
      <c r="M45" s="16"/>
      <c r="N45" s="16"/>
      <c r="O45" s="16"/>
      <c r="P45" s="16"/>
      <c r="Q45" s="16"/>
      <c r="R45" s="16"/>
      <c r="S45" s="16"/>
      <c r="T45" s="16"/>
      <c r="U45" s="46"/>
      <c r="V45" s="16"/>
      <c r="W45" s="16"/>
      <c r="X45" s="16"/>
      <c r="Y45" s="47"/>
    </row>
    <row r="46" spans="1:25">
      <c r="A46" s="18">
        <f t="shared" si="9"/>
        <v>41</v>
      </c>
      <c r="B46" s="1">
        <f t="shared" si="7"/>
        <v>141</v>
      </c>
      <c r="C46" s="1" t="str">
        <f>VLOOKUP(B46,'[1]list-flat-report_SOVIII.2021-Ju'!$C$3:$G$116,5,0)</f>
        <v>Modi Housing Pvt Ltd.</v>
      </c>
      <c r="D46" s="6">
        <v>9150000</v>
      </c>
      <c r="E46" s="6">
        <f t="shared" si="32"/>
        <v>5490000</v>
      </c>
      <c r="F46" s="6">
        <v>200000</v>
      </c>
      <c r="G46" s="19">
        <f t="shared" si="33"/>
        <v>5290000</v>
      </c>
      <c r="H46" s="6">
        <f t="shared" si="34"/>
        <v>1322500</v>
      </c>
      <c r="I46" s="31">
        <v>44369</v>
      </c>
      <c r="J46" s="36">
        <f t="shared" si="35"/>
        <v>1322500</v>
      </c>
      <c r="K46" s="31"/>
      <c r="L46" s="29"/>
      <c r="M46" s="6"/>
      <c r="N46" s="6"/>
      <c r="O46" s="16"/>
      <c r="P46" s="16"/>
      <c r="Q46" s="16"/>
      <c r="R46" s="16"/>
      <c r="S46" s="6">
        <f>J46+L46+N46+P46+R46</f>
        <v>1322500</v>
      </c>
      <c r="T46" s="6">
        <v>0</v>
      </c>
      <c r="U46" s="10">
        <v>1322500</v>
      </c>
      <c r="V46" s="6">
        <f>T46+U46</f>
        <v>1322500</v>
      </c>
      <c r="W46" s="6">
        <f>S46-V46</f>
        <v>0</v>
      </c>
      <c r="X46" s="16"/>
      <c r="Y46" s="47"/>
    </row>
    <row r="47" spans="1:25">
      <c r="A47" s="18">
        <f t="shared" si="9"/>
        <v>42</v>
      </c>
      <c r="B47" s="1">
        <f t="shared" si="7"/>
        <v>142</v>
      </c>
      <c r="C47" s="1" t="str">
        <f>VLOOKUP(B47,'[1]list-flat-report_SOVIII.2021-Ju'!$C$3:$G$116,5,0)</f>
        <v>Modi Housing Pvt Ltd.</v>
      </c>
      <c r="D47" s="6">
        <v>9100000</v>
      </c>
      <c r="E47" s="6">
        <f t="shared" ref="E47:E50" si="37">D47*60%</f>
        <v>5460000</v>
      </c>
      <c r="F47" s="6">
        <v>200000</v>
      </c>
      <c r="G47" s="19">
        <f t="shared" ref="G47:G50" si="38">E47-F47</f>
        <v>5260000</v>
      </c>
      <c r="H47" s="6">
        <f t="shared" ref="H47:H50" si="39">G47/4</f>
        <v>1315000</v>
      </c>
      <c r="I47" s="31">
        <v>44357</v>
      </c>
      <c r="J47" s="36">
        <f t="shared" si="35"/>
        <v>1315000</v>
      </c>
      <c r="K47" s="38">
        <v>44520</v>
      </c>
      <c r="L47" s="39">
        <f t="shared" si="31"/>
        <v>1315000</v>
      </c>
      <c r="M47" s="6"/>
      <c r="N47" s="6"/>
      <c r="O47" s="16"/>
      <c r="P47" s="16"/>
      <c r="Q47" s="16"/>
      <c r="R47" s="16"/>
      <c r="S47" s="6">
        <f t="shared" ref="S47:S110" si="40">J47+L47+N47+P47+R47</f>
        <v>2630000</v>
      </c>
      <c r="T47" s="6"/>
      <c r="U47" s="6">
        <v>1315000</v>
      </c>
      <c r="V47" s="6">
        <f t="shared" si="36"/>
        <v>1315000</v>
      </c>
      <c r="W47" s="6">
        <f t="shared" ref="W47:W110" si="41">S47-V47</f>
        <v>1315000</v>
      </c>
      <c r="X47" s="16">
        <v>0</v>
      </c>
      <c r="Y47" s="47">
        <f>+W47+X47</f>
        <v>1315000</v>
      </c>
    </row>
    <row r="48" spans="1:25">
      <c r="A48" s="18">
        <f t="shared" si="9"/>
        <v>43</v>
      </c>
      <c r="B48" s="1">
        <f t="shared" si="7"/>
        <v>143</v>
      </c>
      <c r="C48" s="1" t="str">
        <f>VLOOKUP(B48,'[1]list-flat-report_SOVIII.2021-Ju'!$C$3:$G$116,5,0)</f>
        <v>Modi Housing Pvt Ltd.</v>
      </c>
      <c r="D48" s="6">
        <v>9000000</v>
      </c>
      <c r="E48" s="6">
        <f t="shared" si="37"/>
        <v>5400000</v>
      </c>
      <c r="F48" s="6">
        <v>200000</v>
      </c>
      <c r="G48" s="19">
        <f t="shared" si="38"/>
        <v>5200000</v>
      </c>
      <c r="H48" s="6">
        <f t="shared" si="39"/>
        <v>1300000</v>
      </c>
      <c r="I48" s="31">
        <v>44300</v>
      </c>
      <c r="J48" s="29">
        <f t="shared" si="35"/>
        <v>1300000</v>
      </c>
      <c r="K48" s="38">
        <v>44520</v>
      </c>
      <c r="L48" s="39">
        <f t="shared" si="31"/>
        <v>1300000</v>
      </c>
      <c r="M48" s="6"/>
      <c r="N48" s="6"/>
      <c r="O48" s="16"/>
      <c r="P48" s="16"/>
      <c r="Q48" s="16"/>
      <c r="R48" s="16"/>
      <c r="S48" s="6">
        <f t="shared" si="40"/>
        <v>2600000</v>
      </c>
      <c r="T48" s="6"/>
      <c r="U48" s="6">
        <v>1300000</v>
      </c>
      <c r="V48" s="6">
        <f t="shared" si="36"/>
        <v>1300000</v>
      </c>
      <c r="W48" s="6">
        <f t="shared" si="41"/>
        <v>1300000</v>
      </c>
      <c r="X48" s="16"/>
      <c r="Y48" s="47"/>
    </row>
    <row r="49" spans="1:25">
      <c r="A49" s="18">
        <f t="shared" si="9"/>
        <v>44</v>
      </c>
      <c r="B49" s="1">
        <f t="shared" si="7"/>
        <v>144</v>
      </c>
      <c r="C49" s="1" t="str">
        <f>VLOOKUP(B49,'[1]list-flat-report_SOVIII.2021-Ju'!$C$3:$G$116,5,0)</f>
        <v>Modi Housing Pvt Ltd.</v>
      </c>
      <c r="D49" s="6">
        <v>9070000</v>
      </c>
      <c r="E49" s="6">
        <f t="shared" si="37"/>
        <v>5442000</v>
      </c>
      <c r="F49" s="6">
        <v>200000</v>
      </c>
      <c r="G49" s="19">
        <f t="shared" si="38"/>
        <v>5242000</v>
      </c>
      <c r="H49" s="6">
        <f t="shared" si="39"/>
        <v>1310500</v>
      </c>
      <c r="I49" s="31">
        <v>44305</v>
      </c>
      <c r="J49" s="29">
        <f t="shared" si="35"/>
        <v>1310500</v>
      </c>
      <c r="K49" s="31">
        <v>44455</v>
      </c>
      <c r="L49" s="29">
        <f>H49</f>
        <v>1310500</v>
      </c>
      <c r="M49" s="6"/>
      <c r="N49" s="6"/>
      <c r="O49" s="16"/>
      <c r="P49" s="16"/>
      <c r="Q49" s="16"/>
      <c r="R49" s="16"/>
      <c r="S49" s="6">
        <f t="shared" si="40"/>
        <v>2621000</v>
      </c>
      <c r="T49" s="6"/>
      <c r="U49" s="6">
        <f>1310500+1310500</f>
        <v>2621000</v>
      </c>
      <c r="V49" s="6">
        <f t="shared" si="36"/>
        <v>2621000</v>
      </c>
      <c r="W49" s="6">
        <f t="shared" si="41"/>
        <v>0</v>
      </c>
      <c r="X49" s="16"/>
      <c r="Y49" s="47"/>
    </row>
    <row r="50" spans="1:25">
      <c r="A50" s="18">
        <f t="shared" si="9"/>
        <v>45</v>
      </c>
      <c r="B50" s="1">
        <f t="shared" si="7"/>
        <v>145</v>
      </c>
      <c r="C50" s="1" t="str">
        <f>VLOOKUP(B50,'[1]list-flat-report_SOVIII.2021-Ju'!$C$3:$G$116,5,0)</f>
        <v>Modi Housing Pvt Ltd.</v>
      </c>
      <c r="D50" s="6">
        <v>9100000</v>
      </c>
      <c r="E50" s="6">
        <f t="shared" si="37"/>
        <v>5460000</v>
      </c>
      <c r="F50" s="6">
        <v>200000</v>
      </c>
      <c r="G50" s="19">
        <f t="shared" si="38"/>
        <v>5260000</v>
      </c>
      <c r="H50" s="6">
        <f t="shared" si="39"/>
        <v>1315000</v>
      </c>
      <c r="I50" s="31">
        <v>44382</v>
      </c>
      <c r="J50" s="29">
        <f t="shared" si="35"/>
        <v>1315000</v>
      </c>
      <c r="K50" s="31"/>
      <c r="L50" s="29"/>
      <c r="M50" s="6"/>
      <c r="N50" s="6"/>
      <c r="O50" s="16"/>
      <c r="P50" s="16"/>
      <c r="Q50" s="16"/>
      <c r="R50" s="16"/>
      <c r="S50" s="6">
        <f t="shared" si="40"/>
        <v>1315000</v>
      </c>
      <c r="T50" s="6"/>
      <c r="U50" s="6">
        <v>1315000</v>
      </c>
      <c r="V50" s="6">
        <f t="shared" si="36"/>
        <v>1315000</v>
      </c>
      <c r="W50" s="6">
        <f t="shared" si="41"/>
        <v>0</v>
      </c>
      <c r="X50" s="16"/>
      <c r="Y50" s="47"/>
    </row>
    <row r="51" spans="1:25">
      <c r="A51" s="18">
        <f t="shared" si="9"/>
        <v>46</v>
      </c>
      <c r="B51" s="1">
        <f t="shared" si="7"/>
        <v>146</v>
      </c>
      <c r="C51" s="1" t="str">
        <f>VLOOKUP(B51,'[1]list-flat-report_SOVIII.2021-Ju'!$C$3:$G$116,5,0)</f>
        <v>Modi Housing Pvt Ltd.</v>
      </c>
      <c r="D51" s="6">
        <v>0</v>
      </c>
      <c r="E51" s="6"/>
      <c r="F51" s="6"/>
      <c r="G51" s="19"/>
      <c r="H51" s="6"/>
      <c r="I51" s="31"/>
      <c r="J51" s="29"/>
      <c r="K51" s="31"/>
      <c r="L51" s="29"/>
      <c r="M51" s="6"/>
      <c r="N51" s="6"/>
      <c r="O51" s="16"/>
      <c r="P51" s="16"/>
      <c r="Q51" s="16"/>
      <c r="R51" s="16"/>
      <c r="S51" s="6">
        <f t="shared" si="40"/>
        <v>0</v>
      </c>
      <c r="T51" s="6"/>
      <c r="U51" s="6"/>
      <c r="V51" s="6">
        <f t="shared" ref="V50:V113" si="42">T51+U51</f>
        <v>0</v>
      </c>
      <c r="W51" s="6">
        <f t="shared" si="41"/>
        <v>0</v>
      </c>
      <c r="X51" s="16"/>
      <c r="Y51" s="47"/>
    </row>
    <row r="52" spans="1:25">
      <c r="A52" s="18">
        <f t="shared" si="9"/>
        <v>47</v>
      </c>
      <c r="B52" s="1">
        <f t="shared" si="7"/>
        <v>147</v>
      </c>
      <c r="C52" s="1" t="str">
        <f>VLOOKUP(B52,'[1]list-flat-report_SOVIII.2021-Ju'!$C$3:$G$116,5,0)</f>
        <v>Modi Housing Pvt Ltd.</v>
      </c>
      <c r="D52" s="6">
        <v>0</v>
      </c>
      <c r="E52" s="6"/>
      <c r="F52" s="6"/>
      <c r="G52" s="19"/>
      <c r="H52" s="6"/>
      <c r="I52" s="31"/>
      <c r="J52" s="29"/>
      <c r="K52" s="31"/>
      <c r="L52" s="29"/>
      <c r="M52" s="6"/>
      <c r="N52" s="6"/>
      <c r="O52" s="16"/>
      <c r="P52" s="16"/>
      <c r="Q52" s="16"/>
      <c r="R52" s="16"/>
      <c r="S52" s="6">
        <f t="shared" si="40"/>
        <v>0</v>
      </c>
      <c r="T52" s="6"/>
      <c r="U52" s="6"/>
      <c r="V52" s="6">
        <f t="shared" si="42"/>
        <v>0</v>
      </c>
      <c r="W52" s="6">
        <f t="shared" si="41"/>
        <v>0</v>
      </c>
      <c r="X52" s="16"/>
      <c r="Y52" s="47"/>
    </row>
    <row r="53" spans="1:25">
      <c r="A53" s="18">
        <f t="shared" si="9"/>
        <v>48</v>
      </c>
      <c r="B53" s="1">
        <f t="shared" si="7"/>
        <v>148</v>
      </c>
      <c r="C53" s="1" t="str">
        <f>VLOOKUP(B53,'[1]list-flat-report_SOVIII.2021-Ju'!$C$3:$G$116,5,0)</f>
        <v>Modi Housing Pvt Ltd.</v>
      </c>
      <c r="D53" s="6">
        <v>8930000</v>
      </c>
      <c r="E53" s="6">
        <f t="shared" ref="E53:E65" si="43">D53*60%</f>
        <v>5358000</v>
      </c>
      <c r="F53" s="6">
        <v>200000</v>
      </c>
      <c r="G53" s="19">
        <f t="shared" ref="G53:G65" si="44">E53-F53</f>
        <v>5158000</v>
      </c>
      <c r="H53" s="6">
        <f t="shared" ref="H53:H65" si="45">G53/4</f>
        <v>1289500</v>
      </c>
      <c r="I53" s="32">
        <v>44519</v>
      </c>
      <c r="J53" s="39">
        <f>H53</f>
        <v>1289500</v>
      </c>
      <c r="K53" s="31"/>
      <c r="L53" s="29"/>
      <c r="M53" s="6"/>
      <c r="N53" s="6"/>
      <c r="O53" s="16"/>
      <c r="P53" s="16"/>
      <c r="Q53" s="16"/>
      <c r="R53" s="16"/>
      <c r="S53" s="6">
        <f t="shared" si="40"/>
        <v>1289500</v>
      </c>
      <c r="T53" s="6">
        <v>0</v>
      </c>
      <c r="U53" s="6">
        <v>0</v>
      </c>
      <c r="V53" s="6">
        <f t="shared" si="42"/>
        <v>0</v>
      </c>
      <c r="W53" s="6">
        <f t="shared" si="41"/>
        <v>1289500</v>
      </c>
      <c r="X53" s="16"/>
      <c r="Y53" s="47"/>
    </row>
    <row r="54" spans="1:25">
      <c r="A54" s="18">
        <f t="shared" si="9"/>
        <v>49</v>
      </c>
      <c r="B54" s="1">
        <f t="shared" si="7"/>
        <v>149</v>
      </c>
      <c r="C54" s="1" t="str">
        <f>VLOOKUP(B54,'[1]list-flat-report_SOVIII.2021-Ju'!$C$3:$G$116,5,0)</f>
        <v>Modi Housing Pvt Ltd.</v>
      </c>
      <c r="D54" s="6">
        <v>8600000</v>
      </c>
      <c r="E54" s="6">
        <f t="shared" si="43"/>
        <v>5160000</v>
      </c>
      <c r="F54" s="6">
        <v>200000</v>
      </c>
      <c r="G54" s="19">
        <f t="shared" si="44"/>
        <v>4960000</v>
      </c>
      <c r="H54" s="6">
        <f t="shared" si="45"/>
        <v>1240000</v>
      </c>
      <c r="I54" s="31"/>
      <c r="J54" s="29"/>
      <c r="K54" s="31"/>
      <c r="L54" s="29"/>
      <c r="M54" s="6"/>
      <c r="N54" s="6"/>
      <c r="O54" s="16"/>
      <c r="P54" s="16"/>
      <c r="Q54" s="16"/>
      <c r="R54" s="16"/>
      <c r="S54" s="6">
        <f t="shared" si="40"/>
        <v>0</v>
      </c>
      <c r="T54" s="6"/>
      <c r="U54" s="6"/>
      <c r="V54" s="6">
        <f t="shared" si="42"/>
        <v>0</v>
      </c>
      <c r="W54" s="6">
        <f t="shared" si="41"/>
        <v>0</v>
      </c>
      <c r="X54" s="16"/>
      <c r="Y54" s="47"/>
    </row>
    <row r="55" spans="1:25">
      <c r="A55" s="18">
        <f t="shared" si="9"/>
        <v>50</v>
      </c>
      <c r="B55" s="1">
        <f t="shared" si="7"/>
        <v>150</v>
      </c>
      <c r="C55" s="1" t="str">
        <f>VLOOKUP(B55,'[1]list-flat-report_SOVIII.2021-Ju'!$C$3:$G$116,5,0)</f>
        <v>Modi Housing Pvt Ltd.</v>
      </c>
      <c r="D55" s="6">
        <v>8600000</v>
      </c>
      <c r="E55" s="6">
        <f t="shared" si="43"/>
        <v>5160000</v>
      </c>
      <c r="F55" s="6">
        <v>200000</v>
      </c>
      <c r="G55" s="19">
        <f t="shared" si="44"/>
        <v>4960000</v>
      </c>
      <c r="H55" s="6">
        <f t="shared" si="45"/>
        <v>1240000</v>
      </c>
      <c r="I55" s="31"/>
      <c r="J55" s="29"/>
      <c r="K55" s="31"/>
      <c r="L55" s="29"/>
      <c r="M55" s="6"/>
      <c r="N55" s="6"/>
      <c r="O55" s="16"/>
      <c r="P55" s="16"/>
      <c r="Q55" s="16"/>
      <c r="R55" s="16"/>
      <c r="S55" s="6">
        <f t="shared" si="40"/>
        <v>0</v>
      </c>
      <c r="T55" s="6"/>
      <c r="U55" s="6"/>
      <c r="V55" s="6">
        <f t="shared" si="42"/>
        <v>0</v>
      </c>
      <c r="W55" s="6">
        <f t="shared" si="41"/>
        <v>0</v>
      </c>
      <c r="X55" s="16"/>
      <c r="Y55" s="47"/>
    </row>
    <row r="56" spans="1:25">
      <c r="A56" s="18">
        <f t="shared" si="9"/>
        <v>51</v>
      </c>
      <c r="B56" s="1">
        <f t="shared" si="7"/>
        <v>151</v>
      </c>
      <c r="C56" s="1" t="str">
        <f>VLOOKUP(B56,'[1]list-flat-report_SOVIII.2021-Ju'!$C$3:$G$116,5,0)</f>
        <v>Modi Housing Pvt Ltd.</v>
      </c>
      <c r="D56" s="6">
        <v>8600000</v>
      </c>
      <c r="E56" s="6">
        <f t="shared" si="43"/>
        <v>5160000</v>
      </c>
      <c r="F56" s="6">
        <v>200000</v>
      </c>
      <c r="G56" s="19">
        <f t="shared" si="44"/>
        <v>4960000</v>
      </c>
      <c r="H56" s="6">
        <f t="shared" si="45"/>
        <v>1240000</v>
      </c>
      <c r="I56" s="31"/>
      <c r="J56" s="29"/>
      <c r="K56" s="31"/>
      <c r="L56" s="29"/>
      <c r="M56" s="6"/>
      <c r="N56" s="6"/>
      <c r="O56" s="16"/>
      <c r="P56" s="16"/>
      <c r="Q56" s="16"/>
      <c r="R56" s="16"/>
      <c r="S56" s="6">
        <f t="shared" si="40"/>
        <v>0</v>
      </c>
      <c r="T56" s="6"/>
      <c r="U56" s="6"/>
      <c r="V56" s="6">
        <f t="shared" si="42"/>
        <v>0</v>
      </c>
      <c r="W56" s="6">
        <f t="shared" si="41"/>
        <v>0</v>
      </c>
      <c r="X56" s="16"/>
      <c r="Y56" s="47"/>
    </row>
    <row r="57" spans="1:25">
      <c r="A57" s="18">
        <f t="shared" si="9"/>
        <v>52</v>
      </c>
      <c r="B57" s="1">
        <f t="shared" si="7"/>
        <v>152</v>
      </c>
      <c r="C57" s="1" t="str">
        <f>VLOOKUP(B57,'[1]list-flat-report_SOVIII.2021-Ju'!$C$3:$G$116,5,0)</f>
        <v>Modi Housing Pvt Ltd.</v>
      </c>
      <c r="D57" s="6">
        <v>9381000</v>
      </c>
      <c r="E57" s="6">
        <f t="shared" si="43"/>
        <v>5628600</v>
      </c>
      <c r="F57" s="6">
        <v>200000</v>
      </c>
      <c r="G57" s="19">
        <f t="shared" si="44"/>
        <v>5428600</v>
      </c>
      <c r="H57" s="6">
        <f t="shared" si="45"/>
        <v>1357150</v>
      </c>
      <c r="I57" s="31"/>
      <c r="J57" s="29"/>
      <c r="K57" s="31"/>
      <c r="L57" s="29"/>
      <c r="M57" s="6"/>
      <c r="N57" s="6"/>
      <c r="O57" s="16"/>
      <c r="P57" s="16"/>
      <c r="Q57" s="16"/>
      <c r="R57" s="16"/>
      <c r="S57" s="6">
        <f t="shared" si="40"/>
        <v>0</v>
      </c>
      <c r="T57" s="6"/>
      <c r="U57" s="6"/>
      <c r="V57" s="6">
        <f t="shared" si="42"/>
        <v>0</v>
      </c>
      <c r="W57" s="6">
        <f t="shared" si="41"/>
        <v>0</v>
      </c>
      <c r="X57" s="16"/>
      <c r="Y57" s="47"/>
    </row>
    <row r="58" spans="1:25">
      <c r="A58" s="18">
        <f t="shared" si="9"/>
        <v>53</v>
      </c>
      <c r="B58" s="1">
        <f t="shared" si="7"/>
        <v>153</v>
      </c>
      <c r="C58" s="1" t="str">
        <f>VLOOKUP(B58,'[1]list-flat-report_SOVIII.2021-Ju'!$C$3:$G$116,5,0)</f>
        <v>Modi Housing Pvt Ltd.</v>
      </c>
      <c r="D58" s="6">
        <v>9100000</v>
      </c>
      <c r="E58" s="6">
        <f t="shared" si="43"/>
        <v>5460000</v>
      </c>
      <c r="F58" s="6">
        <v>200000</v>
      </c>
      <c r="G58" s="19">
        <f t="shared" si="44"/>
        <v>5260000</v>
      </c>
      <c r="H58" s="6">
        <f t="shared" si="45"/>
        <v>1315000</v>
      </c>
      <c r="I58" s="31"/>
      <c r="J58" s="29"/>
      <c r="K58" s="31"/>
      <c r="L58" s="29"/>
      <c r="M58" s="6"/>
      <c r="N58" s="6"/>
      <c r="O58" s="16"/>
      <c r="P58" s="16"/>
      <c r="Q58" s="16"/>
      <c r="R58" s="16"/>
      <c r="S58" s="6">
        <f t="shared" si="40"/>
        <v>0</v>
      </c>
      <c r="T58" s="6"/>
      <c r="U58" s="6"/>
      <c r="V58" s="6">
        <f t="shared" si="42"/>
        <v>0</v>
      </c>
      <c r="W58" s="6">
        <f t="shared" si="41"/>
        <v>0</v>
      </c>
      <c r="X58" s="16"/>
      <c r="Y58" s="47"/>
    </row>
    <row r="59" spans="1:25">
      <c r="A59" s="18">
        <f t="shared" si="9"/>
        <v>54</v>
      </c>
      <c r="B59" s="1">
        <f t="shared" si="7"/>
        <v>154</v>
      </c>
      <c r="C59" s="1" t="str">
        <f>VLOOKUP(B59,'[1]list-flat-report_SOVIII.2021-Ju'!$C$3:$G$116,5,0)</f>
        <v>Modi Housing Pvt Ltd.</v>
      </c>
      <c r="D59" s="6">
        <v>9100000</v>
      </c>
      <c r="E59" s="6">
        <f t="shared" si="43"/>
        <v>5460000</v>
      </c>
      <c r="F59" s="6">
        <v>200000</v>
      </c>
      <c r="G59" s="19">
        <f t="shared" si="44"/>
        <v>5260000</v>
      </c>
      <c r="H59" s="6">
        <f t="shared" si="45"/>
        <v>1315000</v>
      </c>
      <c r="I59" s="31"/>
      <c r="J59" s="29"/>
      <c r="K59" s="31"/>
      <c r="L59" s="29"/>
      <c r="M59" s="6"/>
      <c r="N59" s="6"/>
      <c r="O59" s="16"/>
      <c r="P59" s="16"/>
      <c r="Q59" s="16"/>
      <c r="R59" s="16"/>
      <c r="S59" s="6">
        <f t="shared" si="40"/>
        <v>0</v>
      </c>
      <c r="T59" s="6"/>
      <c r="U59" s="6"/>
      <c r="V59" s="6">
        <f t="shared" si="42"/>
        <v>0</v>
      </c>
      <c r="W59" s="6">
        <f t="shared" si="41"/>
        <v>0</v>
      </c>
      <c r="X59" s="16"/>
      <c r="Y59" s="47"/>
    </row>
    <row r="60" spans="1:25">
      <c r="A60" s="18">
        <f t="shared" si="9"/>
        <v>55</v>
      </c>
      <c r="B60" s="1">
        <f t="shared" si="7"/>
        <v>155</v>
      </c>
      <c r="C60" s="1" t="str">
        <f>VLOOKUP(B60,'[1]list-flat-report_SOVIII.2021-Ju'!$C$3:$G$116,5,0)</f>
        <v>Modi Housing Pvt Ltd.</v>
      </c>
      <c r="D60" s="6">
        <v>8850000</v>
      </c>
      <c r="E60" s="6">
        <f t="shared" si="43"/>
        <v>5310000</v>
      </c>
      <c r="F60" s="6">
        <v>200000</v>
      </c>
      <c r="G60" s="19">
        <f t="shared" si="44"/>
        <v>5110000</v>
      </c>
      <c r="H60" s="6">
        <f t="shared" si="45"/>
        <v>1277500</v>
      </c>
      <c r="I60" s="31"/>
      <c r="J60" s="29"/>
      <c r="K60" s="31"/>
      <c r="L60" s="29"/>
      <c r="M60" s="6"/>
      <c r="N60" s="6"/>
      <c r="O60" s="16"/>
      <c r="P60" s="16"/>
      <c r="Q60" s="16"/>
      <c r="R60" s="16"/>
      <c r="S60" s="6">
        <f t="shared" si="40"/>
        <v>0</v>
      </c>
      <c r="T60" s="6"/>
      <c r="U60" s="6"/>
      <c r="V60" s="6">
        <f t="shared" si="42"/>
        <v>0</v>
      </c>
      <c r="W60" s="6">
        <f t="shared" si="41"/>
        <v>0</v>
      </c>
      <c r="X60" s="16"/>
      <c r="Y60" s="47"/>
    </row>
    <row r="61" spans="1:25">
      <c r="A61" s="18">
        <f t="shared" si="9"/>
        <v>56</v>
      </c>
      <c r="B61" s="1">
        <f t="shared" si="7"/>
        <v>156</v>
      </c>
      <c r="C61" s="1" t="str">
        <f>VLOOKUP(B61,'[1]list-flat-report_SOVIII.2021-Ju'!$C$3:$G$116,5,0)</f>
        <v>Modi Housing Pvt Ltd.</v>
      </c>
      <c r="D61" s="6">
        <v>7350000</v>
      </c>
      <c r="E61" s="6">
        <f t="shared" si="43"/>
        <v>4410000</v>
      </c>
      <c r="F61" s="6">
        <v>200000</v>
      </c>
      <c r="G61" s="19">
        <f t="shared" si="44"/>
        <v>4210000</v>
      </c>
      <c r="H61" s="6">
        <f t="shared" si="45"/>
        <v>1052500</v>
      </c>
      <c r="I61" s="31">
        <v>44452</v>
      </c>
      <c r="J61" s="29">
        <f>H61</f>
        <v>1052500</v>
      </c>
      <c r="K61" s="31"/>
      <c r="L61" s="29"/>
      <c r="M61" s="6"/>
      <c r="N61" s="6"/>
      <c r="O61" s="16"/>
      <c r="P61" s="16"/>
      <c r="Q61" s="16"/>
      <c r="R61" s="16"/>
      <c r="S61" s="6">
        <f t="shared" si="40"/>
        <v>1052500</v>
      </c>
      <c r="T61" s="6"/>
      <c r="U61" s="6">
        <v>1052500</v>
      </c>
      <c r="V61" s="6">
        <f t="shared" si="42"/>
        <v>1052500</v>
      </c>
      <c r="W61" s="6">
        <f t="shared" si="41"/>
        <v>0</v>
      </c>
      <c r="X61" s="16"/>
      <c r="Y61" s="47"/>
    </row>
    <row r="62" spans="1:25">
      <c r="A62" s="18">
        <f t="shared" si="9"/>
        <v>57</v>
      </c>
      <c r="B62" s="1">
        <f t="shared" si="7"/>
        <v>157</v>
      </c>
      <c r="C62" s="1" t="str">
        <f>VLOOKUP(B62,'[1]list-flat-report_SOVIII.2021-Ju'!$C$3:$G$116,5,0)</f>
        <v>Modi Housing Pvt Ltd.</v>
      </c>
      <c r="D62" s="6">
        <v>8850000</v>
      </c>
      <c r="E62" s="6">
        <f t="shared" si="43"/>
        <v>5310000</v>
      </c>
      <c r="F62" s="6">
        <v>200000</v>
      </c>
      <c r="G62" s="19">
        <f t="shared" si="44"/>
        <v>5110000</v>
      </c>
      <c r="H62" s="6">
        <f t="shared" si="45"/>
        <v>1277500</v>
      </c>
      <c r="I62" s="31">
        <v>44457</v>
      </c>
      <c r="J62" s="29">
        <f>H62</f>
        <v>1277500</v>
      </c>
      <c r="K62" s="31"/>
      <c r="L62" s="29"/>
      <c r="M62" s="6"/>
      <c r="N62" s="6"/>
      <c r="O62" s="16"/>
      <c r="P62" s="16"/>
      <c r="Q62" s="16"/>
      <c r="R62" s="16"/>
      <c r="S62" s="6">
        <f t="shared" si="40"/>
        <v>1277500</v>
      </c>
      <c r="T62" s="6"/>
      <c r="U62" s="6">
        <v>1277500</v>
      </c>
      <c r="V62" s="6">
        <f t="shared" si="42"/>
        <v>1277500</v>
      </c>
      <c r="W62" s="6">
        <f t="shared" si="41"/>
        <v>0</v>
      </c>
      <c r="X62" s="16">
        <v>1225000</v>
      </c>
      <c r="Y62" s="47">
        <f>+W62+X62</f>
        <v>1225000</v>
      </c>
    </row>
    <row r="63" s="4" customFormat="1" ht="15" spans="1:25">
      <c r="A63" s="18">
        <f t="shared" si="9"/>
        <v>58</v>
      </c>
      <c r="B63" s="1">
        <f t="shared" si="7"/>
        <v>158</v>
      </c>
      <c r="C63" s="1" t="str">
        <f>VLOOKUP(B63,'[1]list-flat-report_SOVIII.2021-Ju'!$C$3:$G$116,5,0)</f>
        <v>Modi Housing Pvt Ltd.</v>
      </c>
      <c r="D63" s="6">
        <v>9800000</v>
      </c>
      <c r="E63" s="6">
        <f t="shared" si="43"/>
        <v>5880000</v>
      </c>
      <c r="F63" s="6">
        <v>200000</v>
      </c>
      <c r="G63" s="19">
        <f t="shared" si="44"/>
        <v>5680000</v>
      </c>
      <c r="H63" s="6">
        <f t="shared" si="45"/>
        <v>1420000</v>
      </c>
      <c r="I63" s="31"/>
      <c r="J63" s="29"/>
      <c r="K63" s="31"/>
      <c r="L63" s="29"/>
      <c r="M63" s="6"/>
      <c r="N63" s="6"/>
      <c r="O63" s="16"/>
      <c r="P63" s="16"/>
      <c r="Q63" s="16"/>
      <c r="R63" s="16"/>
      <c r="S63" s="6">
        <f t="shared" si="40"/>
        <v>0</v>
      </c>
      <c r="T63" s="6"/>
      <c r="U63" s="6"/>
      <c r="V63" s="6">
        <f t="shared" si="42"/>
        <v>0</v>
      </c>
      <c r="W63" s="6">
        <f t="shared" si="41"/>
        <v>0</v>
      </c>
      <c r="X63" s="16"/>
      <c r="Y63" s="47"/>
    </row>
    <row r="64" s="4" customFormat="1" ht="15" spans="1:25">
      <c r="A64" s="18">
        <f t="shared" si="9"/>
        <v>59</v>
      </c>
      <c r="B64" s="1">
        <f t="shared" si="7"/>
        <v>159</v>
      </c>
      <c r="C64" s="1" t="str">
        <f>VLOOKUP(B64,'[1]list-flat-report_SOVIII.2021-Ju'!$C$3:$G$116,5,0)</f>
        <v>Modi Housing Pvt Ltd.</v>
      </c>
      <c r="D64" s="6">
        <v>8600000</v>
      </c>
      <c r="E64" s="6">
        <f t="shared" si="43"/>
        <v>5160000</v>
      </c>
      <c r="F64" s="6">
        <v>200000</v>
      </c>
      <c r="G64" s="19">
        <f t="shared" si="44"/>
        <v>4960000</v>
      </c>
      <c r="H64" s="6">
        <f t="shared" si="45"/>
        <v>1240000</v>
      </c>
      <c r="I64" s="31"/>
      <c r="J64" s="29"/>
      <c r="K64" s="31"/>
      <c r="L64" s="29"/>
      <c r="M64" s="6"/>
      <c r="N64" s="6"/>
      <c r="O64" s="16"/>
      <c r="P64" s="16"/>
      <c r="Q64" s="16"/>
      <c r="R64" s="16"/>
      <c r="S64" s="6">
        <f t="shared" si="40"/>
        <v>0</v>
      </c>
      <c r="T64" s="6"/>
      <c r="U64" s="6"/>
      <c r="V64" s="6">
        <f t="shared" si="42"/>
        <v>0</v>
      </c>
      <c r="W64" s="6">
        <f t="shared" si="41"/>
        <v>0</v>
      </c>
      <c r="X64" s="16"/>
      <c r="Y64" s="47"/>
    </row>
    <row r="65" s="4" customFormat="1" ht="15" spans="1:25">
      <c r="A65" s="18">
        <f t="shared" si="9"/>
        <v>60</v>
      </c>
      <c r="B65" s="1">
        <f t="shared" si="7"/>
        <v>160</v>
      </c>
      <c r="C65" s="1" t="str">
        <f>VLOOKUP(B65,'[1]list-flat-report_SOVIII.2021-Ju'!$C$3:$G$116,5,0)</f>
        <v>Modi Housing Pvt Ltd.</v>
      </c>
      <c r="D65" s="6">
        <v>9725000</v>
      </c>
      <c r="E65" s="6">
        <f t="shared" si="43"/>
        <v>5835000</v>
      </c>
      <c r="F65" s="6">
        <v>200000</v>
      </c>
      <c r="G65" s="19">
        <f t="shared" si="44"/>
        <v>5635000</v>
      </c>
      <c r="H65" s="6">
        <f t="shared" si="45"/>
        <v>1408750</v>
      </c>
      <c r="I65" s="31"/>
      <c r="J65" s="29"/>
      <c r="K65" s="31"/>
      <c r="L65" s="29"/>
      <c r="M65" s="6"/>
      <c r="N65" s="6"/>
      <c r="O65" s="16"/>
      <c r="P65" s="16"/>
      <c r="Q65" s="16"/>
      <c r="R65" s="16"/>
      <c r="S65" s="6">
        <f t="shared" si="40"/>
        <v>0</v>
      </c>
      <c r="T65" s="6"/>
      <c r="U65" s="6"/>
      <c r="V65" s="6">
        <f t="shared" si="42"/>
        <v>0</v>
      </c>
      <c r="W65" s="6">
        <f t="shared" si="41"/>
        <v>0</v>
      </c>
      <c r="X65" s="16"/>
      <c r="Y65" s="47"/>
    </row>
    <row r="66" s="4" customFormat="1" ht="15" spans="1:25">
      <c r="A66" s="18">
        <f t="shared" si="9"/>
        <v>61</v>
      </c>
      <c r="B66" s="1">
        <f t="shared" si="7"/>
        <v>161</v>
      </c>
      <c r="C66" s="1" t="str">
        <f>VLOOKUP(B66,'[1]list-flat-report_SOVIII.2021-Ju'!$C$3:$G$116,5,0)</f>
        <v>Modi Housing Pvt Ltd.</v>
      </c>
      <c r="D66" s="6">
        <v>0</v>
      </c>
      <c r="E66" s="6"/>
      <c r="F66" s="6"/>
      <c r="G66" s="19"/>
      <c r="H66" s="6"/>
      <c r="I66" s="31"/>
      <c r="J66" s="29"/>
      <c r="K66" s="31"/>
      <c r="L66" s="29"/>
      <c r="M66" s="6"/>
      <c r="N66" s="6"/>
      <c r="O66" s="16"/>
      <c r="P66" s="16"/>
      <c r="Q66" s="16"/>
      <c r="R66" s="16"/>
      <c r="S66" s="6">
        <f t="shared" si="40"/>
        <v>0</v>
      </c>
      <c r="T66" s="6"/>
      <c r="U66" s="6"/>
      <c r="V66" s="6">
        <f t="shared" si="42"/>
        <v>0</v>
      </c>
      <c r="W66" s="6">
        <f t="shared" si="41"/>
        <v>0</v>
      </c>
      <c r="X66" s="16"/>
      <c r="Y66" s="47"/>
    </row>
    <row r="67" s="4" customFormat="1" ht="15" spans="1:25">
      <c r="A67" s="18">
        <f t="shared" si="9"/>
        <v>62</v>
      </c>
      <c r="B67" s="1">
        <f t="shared" si="7"/>
        <v>162</v>
      </c>
      <c r="C67" s="1" t="str">
        <f>VLOOKUP(B67,'[1]list-flat-report_SOVIII.2021-Ju'!$C$3:$G$116,5,0)</f>
        <v>Modi Housing Pvt Ltd.</v>
      </c>
      <c r="D67" s="6">
        <v>7850000</v>
      </c>
      <c r="E67" s="6">
        <f t="shared" ref="E67:E69" si="46">D67*60%</f>
        <v>4710000</v>
      </c>
      <c r="F67" s="6">
        <v>200000</v>
      </c>
      <c r="G67" s="19">
        <f t="shared" ref="G67:G69" si="47">E67-F67</f>
        <v>4510000</v>
      </c>
      <c r="H67" s="6">
        <f t="shared" ref="H67:H69" si="48">G67/4</f>
        <v>1127500</v>
      </c>
      <c r="I67" s="32">
        <v>44372</v>
      </c>
      <c r="J67" s="39">
        <f t="shared" ref="J67:J69" si="49">H67</f>
        <v>1127500</v>
      </c>
      <c r="K67" s="32">
        <v>44505</v>
      </c>
      <c r="L67" s="39">
        <f>H67</f>
        <v>1127500</v>
      </c>
      <c r="M67" s="6"/>
      <c r="N67" s="6"/>
      <c r="O67" s="16"/>
      <c r="P67" s="16"/>
      <c r="Q67" s="16"/>
      <c r="R67" s="16"/>
      <c r="S67" s="6">
        <f t="shared" si="40"/>
        <v>2255000</v>
      </c>
      <c r="T67" s="6">
        <v>0</v>
      </c>
      <c r="U67" s="6">
        <v>0</v>
      </c>
      <c r="V67" s="6">
        <f t="shared" si="42"/>
        <v>0</v>
      </c>
      <c r="W67" s="6">
        <f t="shared" si="41"/>
        <v>2255000</v>
      </c>
      <c r="X67" s="16"/>
      <c r="Y67" s="47"/>
    </row>
    <row r="68" s="4" customFormat="1" ht="15" spans="1:25">
      <c r="A68" s="18">
        <f t="shared" si="9"/>
        <v>63</v>
      </c>
      <c r="B68" s="1">
        <f t="shared" si="7"/>
        <v>163</v>
      </c>
      <c r="C68" s="1" t="str">
        <f>VLOOKUP(B68,'[1]list-flat-report_SOVIII.2021-Ju'!$C$3:$G$116,5,0)</f>
        <v>Modi Housing Pvt Ltd.</v>
      </c>
      <c r="D68" s="6">
        <v>9700000</v>
      </c>
      <c r="E68" s="6">
        <f t="shared" si="46"/>
        <v>5820000</v>
      </c>
      <c r="F68" s="6">
        <v>200000</v>
      </c>
      <c r="G68" s="19">
        <f t="shared" si="47"/>
        <v>5620000</v>
      </c>
      <c r="H68" s="6">
        <f t="shared" si="48"/>
        <v>1405000</v>
      </c>
      <c r="I68" s="32">
        <v>44377</v>
      </c>
      <c r="J68" s="39">
        <f t="shared" si="49"/>
        <v>1405000</v>
      </c>
      <c r="K68" s="32">
        <v>44505</v>
      </c>
      <c r="L68" s="39">
        <f>H68</f>
        <v>1405000</v>
      </c>
      <c r="M68" s="6"/>
      <c r="N68" s="6"/>
      <c r="O68" s="16"/>
      <c r="P68" s="16"/>
      <c r="Q68" s="16"/>
      <c r="R68" s="16"/>
      <c r="S68" s="6">
        <f t="shared" si="40"/>
        <v>2810000</v>
      </c>
      <c r="T68" s="6"/>
      <c r="U68" s="6">
        <v>0</v>
      </c>
      <c r="V68" s="6">
        <f t="shared" si="42"/>
        <v>0</v>
      </c>
      <c r="W68" s="6">
        <f t="shared" si="41"/>
        <v>2810000</v>
      </c>
      <c r="X68" s="16"/>
      <c r="Y68" s="47"/>
    </row>
    <row r="69" s="4" customFormat="1" ht="15" spans="1:25">
      <c r="A69" s="18">
        <f t="shared" si="9"/>
        <v>64</v>
      </c>
      <c r="B69" s="1">
        <f t="shared" si="7"/>
        <v>164</v>
      </c>
      <c r="C69" s="1" t="str">
        <f>VLOOKUP(B69,'[1]list-flat-report_SOVIII.2021-Ju'!$C$3:$G$116,5,0)</f>
        <v>Modi Housing Pvt Ltd.</v>
      </c>
      <c r="D69" s="6">
        <v>10300000</v>
      </c>
      <c r="E69" s="6">
        <f t="shared" si="46"/>
        <v>6180000</v>
      </c>
      <c r="F69" s="6">
        <v>200000</v>
      </c>
      <c r="G69" s="19">
        <f t="shared" si="47"/>
        <v>5980000</v>
      </c>
      <c r="H69" s="6">
        <f t="shared" si="48"/>
        <v>1495000</v>
      </c>
      <c r="I69" s="32">
        <v>44390</v>
      </c>
      <c r="J69" s="39">
        <f t="shared" si="49"/>
        <v>1495000</v>
      </c>
      <c r="K69" s="32">
        <v>44512</v>
      </c>
      <c r="L69" s="39">
        <f>H69</f>
        <v>1495000</v>
      </c>
      <c r="M69" s="6"/>
      <c r="N69" s="6"/>
      <c r="O69" s="16"/>
      <c r="P69" s="16"/>
      <c r="Q69" s="16"/>
      <c r="R69" s="16"/>
      <c r="S69" s="6">
        <f t="shared" si="40"/>
        <v>2990000</v>
      </c>
      <c r="T69" s="6"/>
      <c r="U69" s="6">
        <v>0</v>
      </c>
      <c r="V69" s="6">
        <f t="shared" si="42"/>
        <v>0</v>
      </c>
      <c r="W69" s="6">
        <f t="shared" si="41"/>
        <v>2990000</v>
      </c>
      <c r="X69" s="16"/>
      <c r="Y69" s="47"/>
    </row>
    <row r="70" s="4" customFormat="1" ht="15" spans="1:25">
      <c r="A70" s="18">
        <f t="shared" si="9"/>
        <v>65</v>
      </c>
      <c r="B70" s="1">
        <f t="shared" si="7"/>
        <v>165</v>
      </c>
      <c r="C70" s="1" t="str">
        <f>VLOOKUP(B70,'[1]list-flat-report_SOVIII.2021-Ju'!$C$3:$G$116,5,0)</f>
        <v>Modi Housing Pvt Ltd.</v>
      </c>
      <c r="D70" s="6">
        <v>5000000</v>
      </c>
      <c r="E70" s="6">
        <f>D70*60%</f>
        <v>3000000</v>
      </c>
      <c r="F70" s="6">
        <v>200000</v>
      </c>
      <c r="G70" s="19">
        <f>E70-F70</f>
        <v>2800000</v>
      </c>
      <c r="H70" s="6">
        <f>G70/4</f>
        <v>700000</v>
      </c>
      <c r="I70" s="31">
        <v>44394</v>
      </c>
      <c r="J70" s="29">
        <f>H70</f>
        <v>700000</v>
      </c>
      <c r="K70" s="32">
        <v>44524</v>
      </c>
      <c r="L70" s="39">
        <f>J70</f>
        <v>700000</v>
      </c>
      <c r="M70" s="6"/>
      <c r="N70" s="6"/>
      <c r="O70" s="16"/>
      <c r="P70" s="16"/>
      <c r="Q70" s="16"/>
      <c r="R70" s="16"/>
      <c r="S70" s="6">
        <f t="shared" si="40"/>
        <v>1400000</v>
      </c>
      <c r="T70" s="6"/>
      <c r="U70" s="6">
        <v>700000</v>
      </c>
      <c r="V70" s="6">
        <f t="shared" si="42"/>
        <v>700000</v>
      </c>
      <c r="W70" s="6">
        <f t="shared" si="41"/>
        <v>700000</v>
      </c>
      <c r="X70" s="16"/>
      <c r="Y70" s="47"/>
    </row>
    <row r="71" s="4" customFormat="1" ht="15" spans="1:25">
      <c r="A71" s="18">
        <f t="shared" si="9"/>
        <v>66</v>
      </c>
      <c r="B71" s="1">
        <f t="shared" ref="B71:B119" si="50">+B70+1</f>
        <v>166</v>
      </c>
      <c r="C71" s="1" t="str">
        <f>VLOOKUP(B71,'[1]list-flat-report_SOVIII.2021-Ju'!$C$3:$G$116,5,0)</f>
        <v>Modi Housing Pvt Ltd.</v>
      </c>
      <c r="D71" s="6">
        <v>0</v>
      </c>
      <c r="E71" s="6"/>
      <c r="F71" s="6"/>
      <c r="G71" s="19"/>
      <c r="H71" s="6"/>
      <c r="I71" s="31"/>
      <c r="J71" s="29"/>
      <c r="K71" s="31"/>
      <c r="L71" s="29"/>
      <c r="M71" s="6"/>
      <c r="N71" s="6"/>
      <c r="O71" s="16"/>
      <c r="P71" s="16"/>
      <c r="Q71" s="16"/>
      <c r="R71" s="16"/>
      <c r="S71" s="6">
        <f t="shared" si="40"/>
        <v>0</v>
      </c>
      <c r="T71" s="6"/>
      <c r="U71" s="6"/>
      <c r="V71" s="6">
        <f t="shared" si="42"/>
        <v>0</v>
      </c>
      <c r="W71" s="6">
        <f t="shared" si="41"/>
        <v>0</v>
      </c>
      <c r="X71" s="16"/>
      <c r="Y71" s="47"/>
    </row>
    <row r="72" s="4" customFormat="1" ht="15" spans="1:25">
      <c r="A72" s="18">
        <f t="shared" ref="A72:A119" si="51">+A71+1</f>
        <v>67</v>
      </c>
      <c r="B72" s="1">
        <f t="shared" si="50"/>
        <v>167</v>
      </c>
      <c r="C72" s="1" t="str">
        <f>VLOOKUP(B72,'[1]list-flat-report_SOVIII.2021-Ju'!$C$3:$G$116,5,0)</f>
        <v>Modi Housing Pvt Ltd.</v>
      </c>
      <c r="D72" s="6">
        <v>0</v>
      </c>
      <c r="E72" s="6"/>
      <c r="F72" s="6"/>
      <c r="G72" s="19"/>
      <c r="H72" s="6"/>
      <c r="I72" s="31"/>
      <c r="J72" s="29"/>
      <c r="K72" s="31"/>
      <c r="L72" s="29"/>
      <c r="M72" s="6"/>
      <c r="N72" s="6"/>
      <c r="O72" s="16"/>
      <c r="P72" s="16"/>
      <c r="Q72" s="16"/>
      <c r="R72" s="16"/>
      <c r="S72" s="6">
        <f t="shared" si="40"/>
        <v>0</v>
      </c>
      <c r="T72" s="6"/>
      <c r="U72" s="6"/>
      <c r="V72" s="6">
        <f t="shared" si="42"/>
        <v>0</v>
      </c>
      <c r="W72" s="6">
        <f t="shared" si="41"/>
        <v>0</v>
      </c>
      <c r="X72" s="16"/>
      <c r="Y72" s="47"/>
    </row>
    <row r="73" s="4" customFormat="1" ht="15" spans="1:25">
      <c r="A73" s="18">
        <f t="shared" si="51"/>
        <v>68</v>
      </c>
      <c r="B73" s="1">
        <f t="shared" si="50"/>
        <v>168</v>
      </c>
      <c r="C73" s="1" t="str">
        <f>VLOOKUP(B73,'[1]list-flat-report_SOVIII.2021-Ju'!$C$3:$G$116,5,0)</f>
        <v>Modi Housing Pvt Ltd.</v>
      </c>
      <c r="D73" s="6">
        <v>0</v>
      </c>
      <c r="E73" s="6"/>
      <c r="F73" s="6"/>
      <c r="G73" s="19"/>
      <c r="H73" s="6"/>
      <c r="I73" s="31"/>
      <c r="J73" s="29"/>
      <c r="K73" s="31"/>
      <c r="L73" s="29"/>
      <c r="M73" s="6"/>
      <c r="N73" s="6"/>
      <c r="O73" s="16"/>
      <c r="P73" s="16"/>
      <c r="Q73" s="16"/>
      <c r="R73" s="16"/>
      <c r="S73" s="6">
        <f t="shared" si="40"/>
        <v>0</v>
      </c>
      <c r="T73" s="6"/>
      <c r="U73" s="6"/>
      <c r="V73" s="6">
        <f t="shared" si="42"/>
        <v>0</v>
      </c>
      <c r="W73" s="6">
        <f t="shared" si="41"/>
        <v>0</v>
      </c>
      <c r="X73" s="16"/>
      <c r="Y73" s="47"/>
    </row>
    <row r="74" s="4" customFormat="1" ht="15" spans="1:25">
      <c r="A74" s="18">
        <f t="shared" si="51"/>
        <v>69</v>
      </c>
      <c r="B74" s="1">
        <f t="shared" si="50"/>
        <v>169</v>
      </c>
      <c r="C74" s="1" t="str">
        <f>VLOOKUP(B74,'[1]list-flat-report_SOVIII.2021-Ju'!$C$3:$G$116,5,0)</f>
        <v>Modi Housing Pvt Ltd.</v>
      </c>
      <c r="D74" s="6">
        <v>0</v>
      </c>
      <c r="E74" s="6"/>
      <c r="F74" s="6"/>
      <c r="G74" s="19"/>
      <c r="H74" s="6"/>
      <c r="I74" s="31"/>
      <c r="J74" s="29"/>
      <c r="K74" s="31"/>
      <c r="L74" s="29"/>
      <c r="M74" s="6"/>
      <c r="N74" s="6"/>
      <c r="O74" s="16"/>
      <c r="P74" s="16"/>
      <c r="Q74" s="16"/>
      <c r="R74" s="16"/>
      <c r="S74" s="6">
        <f t="shared" si="40"/>
        <v>0</v>
      </c>
      <c r="T74" s="6"/>
      <c r="U74" s="6"/>
      <c r="V74" s="6">
        <f t="shared" si="42"/>
        <v>0</v>
      </c>
      <c r="W74" s="6">
        <f t="shared" si="41"/>
        <v>0</v>
      </c>
      <c r="X74" s="16"/>
      <c r="Y74" s="47"/>
    </row>
    <row r="75" s="4" customFormat="1" ht="15" spans="1:25">
      <c r="A75" s="18">
        <f t="shared" si="51"/>
        <v>70</v>
      </c>
      <c r="B75" s="1">
        <f t="shared" si="50"/>
        <v>170</v>
      </c>
      <c r="C75" s="1" t="str">
        <f>VLOOKUP(B75,'[1]list-flat-report_SOVIII.2021-Ju'!$C$3:$G$116,5,0)</f>
        <v>Modi Housing Pvt Ltd.</v>
      </c>
      <c r="D75" s="6">
        <v>0</v>
      </c>
      <c r="E75" s="6"/>
      <c r="F75" s="6"/>
      <c r="G75" s="19"/>
      <c r="H75" s="6"/>
      <c r="I75" s="31"/>
      <c r="J75" s="29"/>
      <c r="K75" s="31"/>
      <c r="L75" s="29"/>
      <c r="M75" s="6"/>
      <c r="N75" s="6"/>
      <c r="O75" s="16"/>
      <c r="P75" s="16"/>
      <c r="Q75" s="16"/>
      <c r="R75" s="16"/>
      <c r="S75" s="6">
        <f t="shared" si="40"/>
        <v>0</v>
      </c>
      <c r="T75" s="6"/>
      <c r="U75" s="6"/>
      <c r="V75" s="6">
        <f t="shared" si="42"/>
        <v>0</v>
      </c>
      <c r="W75" s="6">
        <f t="shared" si="41"/>
        <v>0</v>
      </c>
      <c r="X75" s="16"/>
      <c r="Y75" s="47"/>
    </row>
    <row r="76" s="4" customFormat="1" ht="15" spans="1:25">
      <c r="A76" s="18">
        <f t="shared" si="51"/>
        <v>71</v>
      </c>
      <c r="B76" s="1">
        <f t="shared" si="50"/>
        <v>171</v>
      </c>
      <c r="C76" s="1" t="str">
        <f>VLOOKUP(B76,'[1]list-flat-report_SOVIII.2021-Ju'!$C$3:$G$116,5,0)</f>
        <v>Modi Housing Pvt Ltd.</v>
      </c>
      <c r="D76" s="6">
        <v>0</v>
      </c>
      <c r="E76" s="6"/>
      <c r="F76" s="6"/>
      <c r="G76" s="19"/>
      <c r="H76" s="6"/>
      <c r="I76" s="31"/>
      <c r="J76" s="29"/>
      <c r="K76" s="31"/>
      <c r="L76" s="29"/>
      <c r="M76" s="6"/>
      <c r="N76" s="6"/>
      <c r="O76" s="16"/>
      <c r="P76" s="16"/>
      <c r="Q76" s="16"/>
      <c r="R76" s="16"/>
      <c r="S76" s="6">
        <f t="shared" si="40"/>
        <v>0</v>
      </c>
      <c r="T76" s="6"/>
      <c r="U76" s="6"/>
      <c r="V76" s="6">
        <f t="shared" si="42"/>
        <v>0</v>
      </c>
      <c r="W76" s="6">
        <f t="shared" si="41"/>
        <v>0</v>
      </c>
      <c r="X76" s="16"/>
      <c r="Y76" s="47"/>
    </row>
    <row r="77" s="4" customFormat="1" ht="15" spans="1:25">
      <c r="A77" s="18">
        <f t="shared" si="51"/>
        <v>72</v>
      </c>
      <c r="B77" s="1">
        <f t="shared" si="50"/>
        <v>172</v>
      </c>
      <c r="C77" s="1" t="str">
        <f>VLOOKUP(B77,'[1]list-flat-report_SOVIII.2021-Ju'!$C$3:$G$116,5,0)</f>
        <v>Modi Housing Pvt Ltd.</v>
      </c>
      <c r="D77" s="6">
        <v>0</v>
      </c>
      <c r="E77" s="6"/>
      <c r="F77" s="6"/>
      <c r="G77" s="19"/>
      <c r="H77" s="6"/>
      <c r="I77" s="31"/>
      <c r="J77" s="29"/>
      <c r="K77" s="31"/>
      <c r="L77" s="29"/>
      <c r="M77" s="6"/>
      <c r="N77" s="6"/>
      <c r="O77" s="16"/>
      <c r="P77" s="16"/>
      <c r="Q77" s="16"/>
      <c r="R77" s="16"/>
      <c r="S77" s="6">
        <f t="shared" si="40"/>
        <v>0</v>
      </c>
      <c r="T77" s="6"/>
      <c r="U77" s="6"/>
      <c r="V77" s="6">
        <f t="shared" si="42"/>
        <v>0</v>
      </c>
      <c r="W77" s="6">
        <f t="shared" si="41"/>
        <v>0</v>
      </c>
      <c r="X77" s="16"/>
      <c r="Y77" s="47"/>
    </row>
    <row r="78" s="4" customFormat="1" ht="15" spans="1:25">
      <c r="A78" s="18">
        <f t="shared" si="51"/>
        <v>73</v>
      </c>
      <c r="B78" s="1">
        <f t="shared" si="50"/>
        <v>173</v>
      </c>
      <c r="C78" s="1" t="str">
        <f>VLOOKUP(B78,'[1]list-flat-report_SOVIII.2021-Ju'!$C$3:$G$116,5,0)</f>
        <v>Modi Housing Pvt Ltd.</v>
      </c>
      <c r="D78" s="6">
        <v>0</v>
      </c>
      <c r="E78" s="6"/>
      <c r="F78" s="6"/>
      <c r="G78" s="19"/>
      <c r="H78" s="6"/>
      <c r="I78" s="31"/>
      <c r="J78" s="29"/>
      <c r="K78" s="31"/>
      <c r="L78" s="29"/>
      <c r="M78" s="6"/>
      <c r="N78" s="6"/>
      <c r="O78" s="16"/>
      <c r="P78" s="16"/>
      <c r="Q78" s="16"/>
      <c r="R78" s="16"/>
      <c r="S78" s="6">
        <f t="shared" si="40"/>
        <v>0</v>
      </c>
      <c r="T78" s="6"/>
      <c r="U78" s="6"/>
      <c r="V78" s="6">
        <f t="shared" si="42"/>
        <v>0</v>
      </c>
      <c r="W78" s="6">
        <f t="shared" si="41"/>
        <v>0</v>
      </c>
      <c r="X78" s="16"/>
      <c r="Y78" s="47"/>
    </row>
    <row r="79" s="4" customFormat="1" ht="15" spans="1:25">
      <c r="A79" s="18">
        <f t="shared" si="51"/>
        <v>74</v>
      </c>
      <c r="B79" s="1">
        <f t="shared" si="50"/>
        <v>174</v>
      </c>
      <c r="C79" s="1" t="str">
        <f>VLOOKUP(B79,'[1]list-flat-report_SOVIII.2021-Ju'!$C$3:$G$116,5,0)</f>
        <v>Modi Housing Pvt Ltd.</v>
      </c>
      <c r="D79" s="6">
        <v>10000000</v>
      </c>
      <c r="E79" s="6">
        <f>D79*60%</f>
        <v>6000000</v>
      </c>
      <c r="F79" s="6">
        <v>200000</v>
      </c>
      <c r="G79" s="19">
        <f>E79-F79</f>
        <v>5800000</v>
      </c>
      <c r="H79" s="6">
        <f>G79/4</f>
        <v>1450000</v>
      </c>
      <c r="I79" s="31"/>
      <c r="J79" s="29"/>
      <c r="K79" s="31"/>
      <c r="L79" s="29"/>
      <c r="M79" s="6"/>
      <c r="N79" s="6"/>
      <c r="O79" s="16"/>
      <c r="P79" s="16"/>
      <c r="Q79" s="16"/>
      <c r="R79" s="16"/>
      <c r="S79" s="6">
        <f t="shared" si="40"/>
        <v>0</v>
      </c>
      <c r="T79" s="6"/>
      <c r="U79" s="6"/>
      <c r="V79" s="6">
        <f t="shared" si="42"/>
        <v>0</v>
      </c>
      <c r="W79" s="6">
        <f t="shared" si="41"/>
        <v>0</v>
      </c>
      <c r="X79" s="16"/>
      <c r="Y79" s="47"/>
    </row>
    <row r="80" s="4" customFormat="1" ht="15" spans="1:25">
      <c r="A80" s="18">
        <f t="shared" si="51"/>
        <v>75</v>
      </c>
      <c r="B80" s="1">
        <f t="shared" si="50"/>
        <v>175</v>
      </c>
      <c r="C80" s="1" t="str">
        <f>VLOOKUP(B80,'[1]list-flat-report_SOVIII.2021-Ju'!$C$3:$G$116,5,0)</f>
        <v>Modi Housing Pvt Ltd.</v>
      </c>
      <c r="D80" s="6">
        <v>0</v>
      </c>
      <c r="E80" s="6"/>
      <c r="F80" s="6"/>
      <c r="G80" s="19"/>
      <c r="H80" s="6"/>
      <c r="I80" s="31"/>
      <c r="J80" s="29"/>
      <c r="K80" s="31"/>
      <c r="L80" s="29"/>
      <c r="M80" s="6"/>
      <c r="N80" s="6"/>
      <c r="O80" s="16"/>
      <c r="P80" s="16"/>
      <c r="Q80" s="16"/>
      <c r="R80" s="16"/>
      <c r="S80" s="6">
        <f t="shared" si="40"/>
        <v>0</v>
      </c>
      <c r="T80" s="6"/>
      <c r="U80" s="6"/>
      <c r="V80" s="6">
        <f t="shared" si="42"/>
        <v>0</v>
      </c>
      <c r="W80" s="6">
        <f t="shared" si="41"/>
        <v>0</v>
      </c>
      <c r="X80" s="16"/>
      <c r="Y80" s="47"/>
    </row>
    <row r="81" s="4" customFormat="1" ht="15" spans="1:25">
      <c r="A81" s="18">
        <f t="shared" si="51"/>
        <v>76</v>
      </c>
      <c r="B81" s="1">
        <f t="shared" si="50"/>
        <v>176</v>
      </c>
      <c r="C81" s="1" t="str">
        <f>VLOOKUP(B81,'[1]list-flat-report_SOVIII.2021-Ju'!$C$3:$G$116,5,0)</f>
        <v>Modi Housing Pvt Ltd.</v>
      </c>
      <c r="D81" s="6">
        <v>0</v>
      </c>
      <c r="E81" s="6"/>
      <c r="F81" s="6"/>
      <c r="G81" s="19"/>
      <c r="H81" s="6"/>
      <c r="I81" s="31"/>
      <c r="J81" s="29"/>
      <c r="K81" s="31"/>
      <c r="L81" s="29"/>
      <c r="M81" s="6"/>
      <c r="N81" s="6"/>
      <c r="O81" s="16"/>
      <c r="P81" s="16"/>
      <c r="Q81" s="16"/>
      <c r="R81" s="16"/>
      <c r="S81" s="6">
        <f t="shared" si="40"/>
        <v>0</v>
      </c>
      <c r="T81" s="6"/>
      <c r="U81" s="6"/>
      <c r="V81" s="6">
        <f t="shared" si="42"/>
        <v>0</v>
      </c>
      <c r="W81" s="6">
        <f t="shared" si="41"/>
        <v>0</v>
      </c>
      <c r="X81" s="16"/>
      <c r="Y81" s="47"/>
    </row>
    <row r="82" s="4" customFormat="1" ht="15" spans="1:25">
      <c r="A82" s="18">
        <f t="shared" si="51"/>
        <v>77</v>
      </c>
      <c r="B82" s="1">
        <f t="shared" si="50"/>
        <v>177</v>
      </c>
      <c r="C82" s="1" t="str">
        <f>VLOOKUP(B82,'[1]list-flat-report_SOVIII.2021-Ju'!$C$3:$G$116,5,0)</f>
        <v>Modi Housing Pvt Ltd.</v>
      </c>
      <c r="D82" s="6">
        <v>0</v>
      </c>
      <c r="E82" s="6"/>
      <c r="F82" s="6"/>
      <c r="G82" s="19"/>
      <c r="H82" s="6"/>
      <c r="I82" s="31"/>
      <c r="J82" s="29"/>
      <c r="K82" s="31"/>
      <c r="L82" s="29"/>
      <c r="M82" s="6"/>
      <c r="N82" s="6"/>
      <c r="O82" s="16"/>
      <c r="P82" s="16"/>
      <c r="Q82" s="16"/>
      <c r="R82" s="16"/>
      <c r="S82" s="6">
        <f t="shared" si="40"/>
        <v>0</v>
      </c>
      <c r="T82" s="6"/>
      <c r="U82" s="6"/>
      <c r="V82" s="6">
        <f t="shared" si="42"/>
        <v>0</v>
      </c>
      <c r="W82" s="6">
        <f t="shared" si="41"/>
        <v>0</v>
      </c>
      <c r="X82" s="16"/>
      <c r="Y82" s="47"/>
    </row>
    <row r="83" s="4" customFormat="1" ht="15" spans="1:25">
      <c r="A83" s="18">
        <f t="shared" si="51"/>
        <v>78</v>
      </c>
      <c r="B83" s="1">
        <f t="shared" si="50"/>
        <v>178</v>
      </c>
      <c r="C83" s="1" t="str">
        <f>VLOOKUP(B83,'[1]list-flat-report_SOVIII.2021-Ju'!$C$3:$G$116,5,0)</f>
        <v>Modi Housing Pvt Ltd.</v>
      </c>
      <c r="D83" s="6">
        <v>0</v>
      </c>
      <c r="E83" s="6"/>
      <c r="F83" s="6"/>
      <c r="G83" s="19"/>
      <c r="H83" s="6"/>
      <c r="I83" s="31"/>
      <c r="J83" s="29"/>
      <c r="K83" s="31"/>
      <c r="L83" s="29"/>
      <c r="M83" s="6"/>
      <c r="N83" s="6"/>
      <c r="O83" s="16"/>
      <c r="P83" s="16"/>
      <c r="Q83" s="16"/>
      <c r="R83" s="16"/>
      <c r="S83" s="6">
        <f t="shared" si="40"/>
        <v>0</v>
      </c>
      <c r="T83" s="6"/>
      <c r="U83" s="6"/>
      <c r="V83" s="6">
        <f t="shared" si="42"/>
        <v>0</v>
      </c>
      <c r="W83" s="6">
        <f t="shared" si="41"/>
        <v>0</v>
      </c>
      <c r="X83" s="16"/>
      <c r="Y83" s="47"/>
    </row>
    <row r="84" s="4" customFormat="1" ht="15" spans="1:25">
      <c r="A84" s="18">
        <f t="shared" si="51"/>
        <v>79</v>
      </c>
      <c r="B84" s="1">
        <f t="shared" si="50"/>
        <v>179</v>
      </c>
      <c r="C84" s="1" t="str">
        <f>VLOOKUP(B84,'[1]list-flat-report_SOVIII.2021-Ju'!$C$3:$G$116,5,0)</f>
        <v>Modi Housing Pvt Ltd.</v>
      </c>
      <c r="D84" s="6">
        <v>9800000</v>
      </c>
      <c r="E84" s="6">
        <f t="shared" ref="E84:E86" si="52">D84*60%</f>
        <v>5880000</v>
      </c>
      <c r="F84" s="6">
        <v>200000</v>
      </c>
      <c r="G84" s="19">
        <f t="shared" ref="G84:G86" si="53">E84-F84</f>
        <v>5680000</v>
      </c>
      <c r="H84" s="6">
        <f t="shared" ref="H84:H86" si="54">G84/4</f>
        <v>1420000</v>
      </c>
      <c r="I84" s="31"/>
      <c r="J84" s="29"/>
      <c r="K84" s="31"/>
      <c r="L84" s="29"/>
      <c r="M84" s="6"/>
      <c r="N84" s="6"/>
      <c r="O84" s="16"/>
      <c r="P84" s="16"/>
      <c r="Q84" s="16"/>
      <c r="R84" s="16"/>
      <c r="S84" s="6">
        <f t="shared" si="40"/>
        <v>0</v>
      </c>
      <c r="T84" s="6"/>
      <c r="U84" s="6"/>
      <c r="V84" s="6">
        <f t="shared" si="42"/>
        <v>0</v>
      </c>
      <c r="W84" s="6">
        <f t="shared" si="41"/>
        <v>0</v>
      </c>
      <c r="X84" s="16"/>
      <c r="Y84" s="47"/>
    </row>
    <row r="85" s="4" customFormat="1" ht="15" spans="1:25">
      <c r="A85" s="18">
        <f t="shared" si="51"/>
        <v>80</v>
      </c>
      <c r="B85" s="1">
        <f t="shared" si="50"/>
        <v>180</v>
      </c>
      <c r="C85" s="1" t="str">
        <f>VLOOKUP(B85,'[1]list-flat-report_SOVIII.2021-Ju'!$C$3:$G$116,5,0)</f>
        <v>Modi Housing Pvt Ltd.</v>
      </c>
      <c r="D85" s="6">
        <v>6948000</v>
      </c>
      <c r="E85" s="6">
        <f t="shared" si="52"/>
        <v>4168800</v>
      </c>
      <c r="F85" s="6">
        <v>200000</v>
      </c>
      <c r="G85" s="19">
        <f t="shared" si="53"/>
        <v>3968800</v>
      </c>
      <c r="H85" s="6">
        <f t="shared" si="54"/>
        <v>992200</v>
      </c>
      <c r="I85" s="31">
        <v>44385</v>
      </c>
      <c r="J85" s="29">
        <f t="shared" ref="J85:J90" si="55">H85</f>
        <v>992200</v>
      </c>
      <c r="K85" s="31"/>
      <c r="L85" s="29"/>
      <c r="M85" s="6"/>
      <c r="N85" s="6"/>
      <c r="O85" s="16"/>
      <c r="P85" s="16"/>
      <c r="Q85" s="16"/>
      <c r="R85" s="16"/>
      <c r="S85" s="6">
        <f t="shared" si="40"/>
        <v>992200</v>
      </c>
      <c r="T85" s="6"/>
      <c r="U85" s="6">
        <v>992200</v>
      </c>
      <c r="V85" s="6">
        <f t="shared" si="42"/>
        <v>992200</v>
      </c>
      <c r="W85" s="6">
        <f t="shared" si="41"/>
        <v>0</v>
      </c>
      <c r="X85" s="16"/>
      <c r="Y85" s="47"/>
    </row>
    <row r="86" s="4" customFormat="1" ht="15" spans="1:25">
      <c r="A86" s="18">
        <f t="shared" si="51"/>
        <v>81</v>
      </c>
      <c r="B86" s="1">
        <f t="shared" si="50"/>
        <v>181</v>
      </c>
      <c r="C86" s="1" t="str">
        <f>VLOOKUP(B86,'[1]list-flat-report_SOVIII.2021-Ju'!$C$3:$G$116,5,0)</f>
        <v>Modi Housing Pvt Ltd.</v>
      </c>
      <c r="D86" s="6">
        <v>9600000</v>
      </c>
      <c r="E86" s="6">
        <f t="shared" si="52"/>
        <v>5760000</v>
      </c>
      <c r="F86" s="6">
        <v>200000</v>
      </c>
      <c r="G86" s="19">
        <f t="shared" si="53"/>
        <v>5560000</v>
      </c>
      <c r="H86" s="6">
        <f t="shared" si="54"/>
        <v>1390000</v>
      </c>
      <c r="I86" s="31">
        <v>44380</v>
      </c>
      <c r="J86" s="29">
        <f t="shared" si="55"/>
        <v>1390000</v>
      </c>
      <c r="K86" s="31"/>
      <c r="L86" s="29"/>
      <c r="M86" s="6"/>
      <c r="N86" s="6"/>
      <c r="O86" s="16"/>
      <c r="P86" s="16"/>
      <c r="Q86" s="16"/>
      <c r="R86" s="16"/>
      <c r="S86" s="6">
        <f t="shared" si="40"/>
        <v>1390000</v>
      </c>
      <c r="T86" s="6"/>
      <c r="U86" s="6">
        <v>1390000</v>
      </c>
      <c r="V86" s="6">
        <f t="shared" si="42"/>
        <v>1390000</v>
      </c>
      <c r="W86" s="6">
        <f t="shared" si="41"/>
        <v>0</v>
      </c>
      <c r="X86" s="16"/>
      <c r="Y86" s="47"/>
    </row>
    <row r="87" s="4" customFormat="1" ht="15" spans="1:25">
      <c r="A87" s="18">
        <f t="shared" si="51"/>
        <v>82</v>
      </c>
      <c r="B87" s="1">
        <f t="shared" si="50"/>
        <v>182</v>
      </c>
      <c r="C87" s="1" t="str">
        <f>VLOOKUP(B87,'[1]list-flat-report_SOVIII.2021-Ju'!$C$3:$G$116,5,0)</f>
        <v>Modi Housing Pvt Ltd.</v>
      </c>
      <c r="D87" s="6">
        <v>9950000</v>
      </c>
      <c r="E87" s="6">
        <f t="shared" ref="E87:E90" si="56">D87*60%</f>
        <v>5970000</v>
      </c>
      <c r="F87" s="6">
        <v>200000</v>
      </c>
      <c r="G87" s="19">
        <f t="shared" ref="G87:G90" si="57">E87-F87</f>
        <v>5770000</v>
      </c>
      <c r="H87" s="6">
        <f t="shared" ref="H87:H90" si="58">G87/4</f>
        <v>1442500</v>
      </c>
      <c r="I87" s="31">
        <v>44377</v>
      </c>
      <c r="J87" s="29">
        <f t="shared" si="55"/>
        <v>1442500</v>
      </c>
      <c r="K87" s="31"/>
      <c r="L87" s="29"/>
      <c r="M87" s="6"/>
      <c r="N87" s="6"/>
      <c r="O87" s="16"/>
      <c r="P87" s="16"/>
      <c r="Q87" s="16"/>
      <c r="R87" s="16"/>
      <c r="S87" s="6">
        <f t="shared" si="40"/>
        <v>1442500</v>
      </c>
      <c r="T87" s="6">
        <v>0</v>
      </c>
      <c r="U87" s="6">
        <v>1442500</v>
      </c>
      <c r="V87" s="6">
        <f t="shared" si="42"/>
        <v>1442500</v>
      </c>
      <c r="W87" s="6">
        <f t="shared" si="41"/>
        <v>0</v>
      </c>
      <c r="X87" s="16"/>
      <c r="Y87" s="47"/>
    </row>
    <row r="88" s="4" customFormat="1" ht="15" spans="1:25">
      <c r="A88" s="18">
        <f t="shared" si="51"/>
        <v>83</v>
      </c>
      <c r="B88" s="1">
        <f t="shared" si="50"/>
        <v>183</v>
      </c>
      <c r="C88" s="1" t="str">
        <f>VLOOKUP(B88,'[1]list-flat-report_SOVIII.2021-Ju'!$C$3:$G$116,5,0)</f>
        <v>Modi Housing Pvt Ltd.</v>
      </c>
      <c r="D88" s="6">
        <v>10000000</v>
      </c>
      <c r="E88" s="6">
        <f t="shared" si="56"/>
        <v>6000000</v>
      </c>
      <c r="F88" s="6">
        <v>200000</v>
      </c>
      <c r="G88" s="19">
        <f t="shared" si="57"/>
        <v>5800000</v>
      </c>
      <c r="H88" s="6">
        <f t="shared" si="58"/>
        <v>1450000</v>
      </c>
      <c r="I88" s="31">
        <v>44373</v>
      </c>
      <c r="J88" s="29">
        <f t="shared" si="55"/>
        <v>1450000</v>
      </c>
      <c r="K88" s="31"/>
      <c r="L88" s="29"/>
      <c r="M88" s="6"/>
      <c r="N88" s="6"/>
      <c r="O88" s="16"/>
      <c r="P88" s="16"/>
      <c r="Q88" s="16"/>
      <c r="R88" s="16"/>
      <c r="S88" s="6">
        <f t="shared" si="40"/>
        <v>1450000</v>
      </c>
      <c r="T88" s="6">
        <v>0</v>
      </c>
      <c r="U88" s="6">
        <v>1450000</v>
      </c>
      <c r="V88" s="6">
        <f t="shared" si="42"/>
        <v>1450000</v>
      </c>
      <c r="W88" s="6">
        <f t="shared" si="41"/>
        <v>0</v>
      </c>
      <c r="X88" s="16"/>
      <c r="Y88" s="47"/>
    </row>
    <row r="89" s="4" customFormat="1" ht="15" spans="1:25">
      <c r="A89" s="18">
        <f t="shared" si="51"/>
        <v>84</v>
      </c>
      <c r="B89" s="1">
        <f t="shared" si="50"/>
        <v>184</v>
      </c>
      <c r="C89" s="1" t="str">
        <f>VLOOKUP(B89,'[1]list-flat-report_SOVIII.2021-Ju'!$C$3:$G$116,5,0)</f>
        <v>Modi Housing Pvt Ltd.</v>
      </c>
      <c r="D89" s="6">
        <v>10000000</v>
      </c>
      <c r="E89" s="6">
        <f t="shared" si="56"/>
        <v>6000000</v>
      </c>
      <c r="F89" s="6">
        <v>200000</v>
      </c>
      <c r="G89" s="19">
        <f t="shared" si="57"/>
        <v>5800000</v>
      </c>
      <c r="H89" s="6">
        <f t="shared" si="58"/>
        <v>1450000</v>
      </c>
      <c r="I89" s="34">
        <v>44471</v>
      </c>
      <c r="J89" s="35">
        <f t="shared" si="55"/>
        <v>1450000</v>
      </c>
      <c r="K89" s="31"/>
      <c r="L89" s="29"/>
      <c r="M89" s="6"/>
      <c r="N89" s="6"/>
      <c r="O89" s="16"/>
      <c r="P89" s="16"/>
      <c r="Q89" s="16"/>
      <c r="R89" s="16"/>
      <c r="S89" s="6">
        <f t="shared" si="40"/>
        <v>1450000</v>
      </c>
      <c r="T89" s="6"/>
      <c r="U89" s="6">
        <v>1450000</v>
      </c>
      <c r="V89" s="6">
        <f t="shared" si="42"/>
        <v>1450000</v>
      </c>
      <c r="W89" s="6">
        <f t="shared" si="41"/>
        <v>0</v>
      </c>
      <c r="X89" s="16"/>
      <c r="Y89" s="47"/>
    </row>
    <row r="90" s="4" customFormat="1" ht="15" spans="1:25">
      <c r="A90" s="18">
        <f t="shared" si="51"/>
        <v>85</v>
      </c>
      <c r="B90" s="1">
        <f t="shared" si="50"/>
        <v>185</v>
      </c>
      <c r="C90" s="1" t="str">
        <f>VLOOKUP(B90,'[1]list-flat-report_SOVIII.2021-Ju'!$C$3:$G$116,5,0)</f>
        <v>Modi Housing Pvt Ltd.</v>
      </c>
      <c r="D90" s="6">
        <v>10000000</v>
      </c>
      <c r="E90" s="6">
        <f t="shared" si="56"/>
        <v>6000000</v>
      </c>
      <c r="F90" s="6">
        <v>200000</v>
      </c>
      <c r="G90" s="19">
        <f t="shared" si="57"/>
        <v>5800000</v>
      </c>
      <c r="H90" s="6">
        <f t="shared" si="58"/>
        <v>1450000</v>
      </c>
      <c r="I90" s="31">
        <v>44454</v>
      </c>
      <c r="J90" s="29">
        <f t="shared" si="55"/>
        <v>1450000</v>
      </c>
      <c r="K90" s="31"/>
      <c r="L90" s="29"/>
      <c r="M90" s="6"/>
      <c r="N90" s="6"/>
      <c r="O90" s="16"/>
      <c r="P90" s="16"/>
      <c r="Q90" s="16"/>
      <c r="R90" s="16"/>
      <c r="S90" s="6">
        <f t="shared" si="40"/>
        <v>1450000</v>
      </c>
      <c r="T90" s="6">
        <v>0</v>
      </c>
      <c r="U90" s="6">
        <v>1450000</v>
      </c>
      <c r="V90" s="6">
        <f t="shared" si="42"/>
        <v>1450000</v>
      </c>
      <c r="W90" s="6">
        <f t="shared" si="41"/>
        <v>0</v>
      </c>
      <c r="X90" s="16"/>
      <c r="Y90" s="47"/>
    </row>
    <row r="91" s="4" customFormat="1" ht="15" spans="1:25">
      <c r="A91" s="18">
        <f t="shared" si="51"/>
        <v>86</v>
      </c>
      <c r="B91" s="1">
        <f t="shared" si="50"/>
        <v>186</v>
      </c>
      <c r="C91" s="1" t="str">
        <f>VLOOKUP(B91,'[1]list-flat-report_SOVIII.2021-Ju'!$C$3:$G$116,5,0)</f>
        <v>Modi Housing Pvt Ltd.</v>
      </c>
      <c r="D91" s="6">
        <v>0</v>
      </c>
      <c r="E91" s="6"/>
      <c r="F91" s="6"/>
      <c r="G91" s="19"/>
      <c r="H91" s="6"/>
      <c r="I91" s="31"/>
      <c r="J91" s="29"/>
      <c r="K91" s="31"/>
      <c r="L91" s="29"/>
      <c r="M91" s="6"/>
      <c r="N91" s="6"/>
      <c r="O91" s="16"/>
      <c r="P91" s="16"/>
      <c r="Q91" s="16"/>
      <c r="R91" s="16"/>
      <c r="S91" s="6">
        <f t="shared" si="40"/>
        <v>0</v>
      </c>
      <c r="T91" s="6"/>
      <c r="U91" s="6"/>
      <c r="V91" s="6">
        <f t="shared" si="42"/>
        <v>0</v>
      </c>
      <c r="W91" s="6">
        <f t="shared" si="41"/>
        <v>0</v>
      </c>
      <c r="X91" s="16"/>
      <c r="Y91" s="47"/>
    </row>
    <row r="92" s="4" customFormat="1" ht="15" spans="1:25">
      <c r="A92" s="18">
        <f t="shared" si="51"/>
        <v>87</v>
      </c>
      <c r="B92" s="1">
        <f t="shared" si="50"/>
        <v>187</v>
      </c>
      <c r="C92" s="1" t="str">
        <f>VLOOKUP(B92,'[1]list-flat-report_SOVIII.2021-Ju'!$C$3:$G$116,5,0)</f>
        <v>Modi Housing Pvt Ltd.</v>
      </c>
      <c r="D92" s="6">
        <v>0</v>
      </c>
      <c r="E92" s="6"/>
      <c r="F92" s="6"/>
      <c r="G92" s="19"/>
      <c r="H92" s="6"/>
      <c r="I92" s="31"/>
      <c r="J92" s="29"/>
      <c r="K92" s="31"/>
      <c r="L92" s="29"/>
      <c r="M92" s="6"/>
      <c r="N92" s="6"/>
      <c r="O92" s="16"/>
      <c r="P92" s="16"/>
      <c r="Q92" s="16"/>
      <c r="R92" s="16"/>
      <c r="S92" s="6">
        <f t="shared" si="40"/>
        <v>0</v>
      </c>
      <c r="T92" s="6"/>
      <c r="U92" s="6"/>
      <c r="V92" s="6">
        <f t="shared" si="42"/>
        <v>0</v>
      </c>
      <c r="W92" s="6">
        <f t="shared" si="41"/>
        <v>0</v>
      </c>
      <c r="X92" s="16"/>
      <c r="Y92" s="47"/>
    </row>
    <row r="93" s="4" customFormat="1" ht="15" spans="1:25">
      <c r="A93" s="18">
        <f t="shared" si="51"/>
        <v>88</v>
      </c>
      <c r="B93" s="1">
        <f t="shared" si="50"/>
        <v>188</v>
      </c>
      <c r="C93" s="1" t="str">
        <f>VLOOKUP(B93,'[1]list-flat-report_SOVIII.2021-Ju'!$C$3:$G$116,5,0)</f>
        <v>Modi Housing Pvt Ltd.</v>
      </c>
      <c r="D93" s="6">
        <v>0</v>
      </c>
      <c r="E93" s="6"/>
      <c r="F93" s="6"/>
      <c r="G93" s="19"/>
      <c r="H93" s="6"/>
      <c r="I93" s="31"/>
      <c r="J93" s="29"/>
      <c r="K93" s="31"/>
      <c r="L93" s="29"/>
      <c r="M93" s="6"/>
      <c r="N93" s="6"/>
      <c r="O93" s="16"/>
      <c r="P93" s="16"/>
      <c r="Q93" s="16"/>
      <c r="R93" s="16"/>
      <c r="S93" s="6">
        <f t="shared" si="40"/>
        <v>0</v>
      </c>
      <c r="T93" s="6"/>
      <c r="U93" s="6"/>
      <c r="V93" s="6">
        <f t="shared" si="42"/>
        <v>0</v>
      </c>
      <c r="W93" s="6">
        <f t="shared" si="41"/>
        <v>0</v>
      </c>
      <c r="X93" s="16"/>
      <c r="Y93" s="47"/>
    </row>
    <row r="94" s="4" customFormat="1" ht="15" spans="1:25">
      <c r="A94" s="18">
        <f t="shared" si="51"/>
        <v>89</v>
      </c>
      <c r="B94" s="1">
        <f t="shared" si="50"/>
        <v>189</v>
      </c>
      <c r="C94" s="1" t="str">
        <f>VLOOKUP(B94,'[1]list-flat-report_SOVIII.2021-Ju'!$C$3:$G$116,5,0)</f>
        <v>Modi Housing Pvt Ltd.</v>
      </c>
      <c r="D94" s="6">
        <v>0</v>
      </c>
      <c r="E94" s="6"/>
      <c r="F94" s="6"/>
      <c r="G94" s="19"/>
      <c r="H94" s="6"/>
      <c r="I94" s="31"/>
      <c r="J94" s="29"/>
      <c r="K94" s="31"/>
      <c r="L94" s="29"/>
      <c r="M94" s="6"/>
      <c r="N94" s="6"/>
      <c r="O94" s="16"/>
      <c r="P94" s="16"/>
      <c r="Q94" s="16"/>
      <c r="R94" s="16"/>
      <c r="S94" s="6">
        <f t="shared" si="40"/>
        <v>0</v>
      </c>
      <c r="T94" s="6"/>
      <c r="U94" s="6"/>
      <c r="V94" s="6">
        <f t="shared" si="42"/>
        <v>0</v>
      </c>
      <c r="W94" s="6">
        <f t="shared" si="41"/>
        <v>0</v>
      </c>
      <c r="X94" s="16"/>
      <c r="Y94" s="47"/>
    </row>
    <row r="95" s="4" customFormat="1" ht="15" spans="1:25">
      <c r="A95" s="18">
        <f t="shared" si="51"/>
        <v>90</v>
      </c>
      <c r="B95" s="1">
        <f t="shared" si="50"/>
        <v>190</v>
      </c>
      <c r="C95" s="1" t="str">
        <f>VLOOKUP(B95,'[1]list-flat-report_SOVIII.2021-Ju'!$C$3:$G$116,5,0)</f>
        <v>Modi Housing Pvt Ltd.</v>
      </c>
      <c r="D95" s="6">
        <v>0</v>
      </c>
      <c r="E95" s="6"/>
      <c r="F95" s="6"/>
      <c r="G95" s="19"/>
      <c r="H95" s="6"/>
      <c r="I95" s="31"/>
      <c r="J95" s="29"/>
      <c r="K95" s="31"/>
      <c r="L95" s="29"/>
      <c r="M95" s="6"/>
      <c r="N95" s="6"/>
      <c r="O95" s="16"/>
      <c r="P95" s="16"/>
      <c r="Q95" s="16"/>
      <c r="R95" s="16"/>
      <c r="S95" s="6">
        <f t="shared" si="40"/>
        <v>0</v>
      </c>
      <c r="T95" s="6"/>
      <c r="U95" s="6"/>
      <c r="V95" s="6">
        <f t="shared" si="42"/>
        <v>0</v>
      </c>
      <c r="W95" s="6">
        <f t="shared" si="41"/>
        <v>0</v>
      </c>
      <c r="X95" s="16"/>
      <c r="Y95" s="47"/>
    </row>
    <row r="96" s="4" customFormat="1" ht="15" spans="1:25">
      <c r="A96" s="18">
        <f t="shared" si="51"/>
        <v>91</v>
      </c>
      <c r="B96" s="1">
        <f t="shared" si="50"/>
        <v>191</v>
      </c>
      <c r="C96" s="1" t="str">
        <f>VLOOKUP(B96,'[1]list-flat-report_SOVIII.2021-Ju'!$C$3:$G$116,5,0)</f>
        <v>Modi Housing Pvt Ltd.</v>
      </c>
      <c r="D96" s="6">
        <v>0</v>
      </c>
      <c r="E96" s="6"/>
      <c r="F96" s="6"/>
      <c r="G96" s="19"/>
      <c r="H96" s="6"/>
      <c r="I96" s="31"/>
      <c r="J96" s="29"/>
      <c r="K96" s="31"/>
      <c r="L96" s="29"/>
      <c r="M96" s="6"/>
      <c r="N96" s="6"/>
      <c r="O96" s="16"/>
      <c r="P96" s="16"/>
      <c r="Q96" s="16"/>
      <c r="R96" s="16"/>
      <c r="S96" s="6">
        <f t="shared" si="40"/>
        <v>0</v>
      </c>
      <c r="T96" s="6"/>
      <c r="U96" s="6"/>
      <c r="V96" s="6">
        <f t="shared" si="42"/>
        <v>0</v>
      </c>
      <c r="W96" s="6">
        <f t="shared" si="41"/>
        <v>0</v>
      </c>
      <c r="X96" s="16"/>
      <c r="Y96" s="47"/>
    </row>
    <row r="97" s="4" customFormat="1" ht="15" spans="1:25">
      <c r="A97" s="18">
        <f t="shared" si="51"/>
        <v>92</v>
      </c>
      <c r="B97" s="1">
        <f t="shared" si="50"/>
        <v>192</v>
      </c>
      <c r="C97" s="1" t="str">
        <f>VLOOKUP(B97,'[1]list-flat-report_SOVIII.2021-Ju'!$C$3:$G$116,5,0)</f>
        <v>Modi Housing Pvt Ltd.</v>
      </c>
      <c r="D97" s="6">
        <v>0</v>
      </c>
      <c r="E97" s="6"/>
      <c r="F97" s="6"/>
      <c r="G97" s="19"/>
      <c r="H97" s="6"/>
      <c r="I97" s="31"/>
      <c r="J97" s="29"/>
      <c r="K97" s="31"/>
      <c r="L97" s="29"/>
      <c r="M97" s="6"/>
      <c r="N97" s="6"/>
      <c r="O97" s="16"/>
      <c r="P97" s="16"/>
      <c r="Q97" s="16"/>
      <c r="R97" s="16"/>
      <c r="S97" s="6">
        <f t="shared" si="40"/>
        <v>0</v>
      </c>
      <c r="T97" s="6"/>
      <c r="U97" s="6"/>
      <c r="V97" s="6">
        <f t="shared" si="42"/>
        <v>0</v>
      </c>
      <c r="W97" s="6">
        <f t="shared" si="41"/>
        <v>0</v>
      </c>
      <c r="X97" s="16"/>
      <c r="Y97" s="47"/>
    </row>
    <row r="98" s="4" customFormat="1" ht="15" spans="1:25">
      <c r="A98" s="18">
        <f t="shared" si="51"/>
        <v>93</v>
      </c>
      <c r="B98" s="1">
        <f t="shared" si="50"/>
        <v>193</v>
      </c>
      <c r="C98" s="1" t="str">
        <f>VLOOKUP(B98,'[1]list-flat-report_SOVIII.2021-Ju'!$C$3:$G$116,5,0)</f>
        <v>Modi Housing Pvt Ltd.</v>
      </c>
      <c r="D98" s="6">
        <v>0</v>
      </c>
      <c r="E98" s="6"/>
      <c r="F98" s="6"/>
      <c r="G98" s="19"/>
      <c r="H98" s="6"/>
      <c r="I98" s="31"/>
      <c r="J98" s="29"/>
      <c r="K98" s="31"/>
      <c r="L98" s="29"/>
      <c r="M98" s="6"/>
      <c r="N98" s="6"/>
      <c r="O98" s="16"/>
      <c r="P98" s="16"/>
      <c r="Q98" s="16"/>
      <c r="R98" s="16"/>
      <c r="S98" s="6">
        <f t="shared" si="40"/>
        <v>0</v>
      </c>
      <c r="T98" s="6"/>
      <c r="U98" s="6"/>
      <c r="V98" s="6">
        <f t="shared" si="42"/>
        <v>0</v>
      </c>
      <c r="W98" s="6">
        <f t="shared" si="41"/>
        <v>0</v>
      </c>
      <c r="X98" s="16"/>
      <c r="Y98" s="47"/>
    </row>
    <row r="99" s="4" customFormat="1" ht="15" spans="1:25">
      <c r="A99" s="18">
        <f t="shared" si="51"/>
        <v>94</v>
      </c>
      <c r="B99" s="1">
        <f t="shared" si="50"/>
        <v>194</v>
      </c>
      <c r="C99" s="1" t="str">
        <f>VLOOKUP(B99,'[1]list-flat-report_SOVIII.2021-Ju'!$C$3:$G$116,5,0)</f>
        <v>Modi Housing Pvt Ltd.</v>
      </c>
      <c r="D99" s="6">
        <v>0</v>
      </c>
      <c r="E99" s="6"/>
      <c r="F99" s="6"/>
      <c r="G99" s="19"/>
      <c r="H99" s="6"/>
      <c r="I99" s="31"/>
      <c r="J99" s="29"/>
      <c r="K99" s="31"/>
      <c r="L99" s="29"/>
      <c r="M99" s="6"/>
      <c r="N99" s="6"/>
      <c r="O99" s="16"/>
      <c r="P99" s="16"/>
      <c r="Q99" s="16"/>
      <c r="R99" s="16"/>
      <c r="S99" s="6">
        <f t="shared" si="40"/>
        <v>0</v>
      </c>
      <c r="T99" s="6"/>
      <c r="U99" s="6"/>
      <c r="V99" s="6">
        <f t="shared" si="42"/>
        <v>0</v>
      </c>
      <c r="W99" s="6">
        <f t="shared" si="41"/>
        <v>0</v>
      </c>
      <c r="X99" s="16"/>
      <c r="Y99" s="47"/>
    </row>
    <row r="100" s="4" customFormat="1" ht="15" spans="1:25">
      <c r="A100" s="18">
        <f t="shared" si="51"/>
        <v>95</v>
      </c>
      <c r="B100" s="1">
        <f t="shared" si="50"/>
        <v>195</v>
      </c>
      <c r="C100" s="1" t="str">
        <f>VLOOKUP(B100,'[1]list-flat-report_SOVIII.2021-Ju'!$C$3:$G$116,5,0)</f>
        <v>Modi Housing Pvt Ltd.</v>
      </c>
      <c r="D100" s="6">
        <v>0</v>
      </c>
      <c r="E100" s="6"/>
      <c r="F100" s="6"/>
      <c r="G100" s="19"/>
      <c r="H100" s="6"/>
      <c r="I100" s="31"/>
      <c r="J100" s="29"/>
      <c r="K100" s="31"/>
      <c r="L100" s="29"/>
      <c r="M100" s="6"/>
      <c r="N100" s="6"/>
      <c r="O100" s="16"/>
      <c r="P100" s="16"/>
      <c r="Q100" s="16"/>
      <c r="R100" s="16"/>
      <c r="S100" s="6">
        <f t="shared" si="40"/>
        <v>0</v>
      </c>
      <c r="T100" s="6"/>
      <c r="U100" s="6"/>
      <c r="V100" s="6">
        <f t="shared" si="42"/>
        <v>0</v>
      </c>
      <c r="W100" s="6">
        <f t="shared" si="41"/>
        <v>0</v>
      </c>
      <c r="X100" s="16"/>
      <c r="Y100" s="47"/>
    </row>
    <row r="101" s="4" customFormat="1" ht="15" spans="1:25">
      <c r="A101" s="18">
        <f t="shared" si="51"/>
        <v>96</v>
      </c>
      <c r="B101" s="1">
        <f t="shared" si="50"/>
        <v>196</v>
      </c>
      <c r="C101" s="1" t="str">
        <f>VLOOKUP(B101,'[1]list-flat-report_SOVIII.2021-Ju'!$C$3:$G$116,5,0)</f>
        <v>Modi Housing Pvt Ltd.</v>
      </c>
      <c r="D101" s="6">
        <v>0</v>
      </c>
      <c r="E101" s="6"/>
      <c r="F101" s="6"/>
      <c r="G101" s="19"/>
      <c r="H101" s="6"/>
      <c r="I101" s="31"/>
      <c r="J101" s="29"/>
      <c r="K101" s="31"/>
      <c r="L101" s="29"/>
      <c r="M101" s="6"/>
      <c r="N101" s="6"/>
      <c r="O101" s="16"/>
      <c r="P101" s="16"/>
      <c r="Q101" s="16"/>
      <c r="R101" s="16"/>
      <c r="S101" s="6">
        <f t="shared" si="40"/>
        <v>0</v>
      </c>
      <c r="T101" s="6"/>
      <c r="U101" s="6"/>
      <c r="V101" s="6">
        <f t="shared" si="42"/>
        <v>0</v>
      </c>
      <c r="W101" s="6">
        <f t="shared" si="41"/>
        <v>0</v>
      </c>
      <c r="X101" s="16"/>
      <c r="Y101" s="47"/>
    </row>
    <row r="102" s="4" customFormat="1" ht="15" spans="1:25">
      <c r="A102" s="18">
        <f t="shared" si="51"/>
        <v>97</v>
      </c>
      <c r="B102" s="1">
        <f t="shared" si="50"/>
        <v>197</v>
      </c>
      <c r="C102" s="1" t="str">
        <f>VLOOKUP(B102,'[1]list-flat-report_SOVIII.2021-Ju'!$C$3:$G$116,5,0)</f>
        <v>Modi Housing Pvt Ltd.</v>
      </c>
      <c r="D102" s="6">
        <v>0</v>
      </c>
      <c r="E102" s="6"/>
      <c r="F102" s="6"/>
      <c r="G102" s="19"/>
      <c r="H102" s="6"/>
      <c r="I102" s="31"/>
      <c r="J102" s="29"/>
      <c r="K102" s="31"/>
      <c r="L102" s="29"/>
      <c r="M102" s="6"/>
      <c r="N102" s="6"/>
      <c r="O102" s="16"/>
      <c r="P102" s="16"/>
      <c r="Q102" s="16"/>
      <c r="R102" s="16"/>
      <c r="S102" s="6">
        <f t="shared" si="40"/>
        <v>0</v>
      </c>
      <c r="T102" s="6"/>
      <c r="U102" s="6"/>
      <c r="V102" s="6">
        <f t="shared" si="42"/>
        <v>0</v>
      </c>
      <c r="W102" s="6">
        <f t="shared" si="41"/>
        <v>0</v>
      </c>
      <c r="X102" s="16"/>
      <c r="Y102" s="47"/>
    </row>
    <row r="103" s="4" customFormat="1" ht="15" spans="1:25">
      <c r="A103" s="18">
        <f t="shared" si="51"/>
        <v>98</v>
      </c>
      <c r="B103" s="1">
        <f t="shared" si="50"/>
        <v>198</v>
      </c>
      <c r="C103" s="1" t="str">
        <f>VLOOKUP(B103,'[1]list-flat-report_SOVIII.2021-Ju'!$C$3:$G$116,5,0)</f>
        <v>Modi Housing Pvt Ltd.</v>
      </c>
      <c r="D103" s="6">
        <v>0</v>
      </c>
      <c r="E103" s="6"/>
      <c r="F103" s="6"/>
      <c r="G103" s="19"/>
      <c r="H103" s="6"/>
      <c r="I103" s="31"/>
      <c r="J103" s="29"/>
      <c r="K103" s="31"/>
      <c r="L103" s="29"/>
      <c r="M103" s="6"/>
      <c r="N103" s="6"/>
      <c r="O103" s="16"/>
      <c r="P103" s="16"/>
      <c r="Q103" s="16"/>
      <c r="R103" s="16"/>
      <c r="S103" s="6">
        <f t="shared" si="40"/>
        <v>0</v>
      </c>
      <c r="T103" s="6"/>
      <c r="U103" s="6"/>
      <c r="V103" s="6">
        <f t="shared" si="42"/>
        <v>0</v>
      </c>
      <c r="W103" s="6">
        <f t="shared" si="41"/>
        <v>0</v>
      </c>
      <c r="X103" s="16"/>
      <c r="Y103" s="47"/>
    </row>
    <row r="104" s="4" customFormat="1" ht="15" spans="1:25">
      <c r="A104" s="18">
        <f t="shared" si="51"/>
        <v>99</v>
      </c>
      <c r="B104" s="1">
        <f t="shared" si="50"/>
        <v>199</v>
      </c>
      <c r="C104" s="1" t="str">
        <f>VLOOKUP(B104,'[1]list-flat-report_SOVIII.2021-Ju'!$C$3:$G$116,5,0)</f>
        <v>Modi Housing Pvt Ltd.</v>
      </c>
      <c r="D104" s="6">
        <v>0</v>
      </c>
      <c r="E104" s="6"/>
      <c r="F104" s="6"/>
      <c r="G104" s="19"/>
      <c r="H104" s="6"/>
      <c r="I104" s="31"/>
      <c r="J104" s="29"/>
      <c r="K104" s="31"/>
      <c r="L104" s="29"/>
      <c r="M104" s="6"/>
      <c r="N104" s="6"/>
      <c r="O104" s="16"/>
      <c r="P104" s="16"/>
      <c r="Q104" s="16"/>
      <c r="R104" s="16"/>
      <c r="S104" s="6">
        <f t="shared" si="40"/>
        <v>0</v>
      </c>
      <c r="T104" s="6"/>
      <c r="U104" s="6"/>
      <c r="V104" s="6">
        <f t="shared" si="42"/>
        <v>0</v>
      </c>
      <c r="W104" s="6">
        <f t="shared" si="41"/>
        <v>0</v>
      </c>
      <c r="X104" s="16"/>
      <c r="Y104" s="47"/>
    </row>
    <row r="105" s="4" customFormat="1" ht="15" spans="1:25">
      <c r="A105" s="18">
        <f t="shared" si="51"/>
        <v>100</v>
      </c>
      <c r="B105" s="1">
        <f t="shared" si="50"/>
        <v>200</v>
      </c>
      <c r="C105" s="1" t="str">
        <f>VLOOKUP(B105,'[1]list-flat-report_SOVIII.2021-Ju'!$C$3:$G$116,5,0)</f>
        <v>Modi Housing Pvt Ltd.</v>
      </c>
      <c r="D105" s="6">
        <v>0</v>
      </c>
      <c r="E105" s="6"/>
      <c r="F105" s="6"/>
      <c r="G105" s="19"/>
      <c r="H105" s="6"/>
      <c r="I105" s="31"/>
      <c r="J105" s="29"/>
      <c r="K105" s="31"/>
      <c r="L105" s="29"/>
      <c r="M105" s="6"/>
      <c r="N105" s="6"/>
      <c r="O105" s="16"/>
      <c r="P105" s="16"/>
      <c r="Q105" s="16"/>
      <c r="R105" s="16"/>
      <c r="S105" s="6">
        <f t="shared" si="40"/>
        <v>0</v>
      </c>
      <c r="T105" s="6"/>
      <c r="U105" s="6"/>
      <c r="V105" s="6">
        <f t="shared" si="42"/>
        <v>0</v>
      </c>
      <c r="W105" s="6">
        <f t="shared" si="41"/>
        <v>0</v>
      </c>
      <c r="X105" s="16"/>
      <c r="Y105" s="47"/>
    </row>
    <row r="106" s="4" customFormat="1" ht="15" spans="1:25">
      <c r="A106" s="18">
        <f t="shared" si="51"/>
        <v>101</v>
      </c>
      <c r="B106" s="1">
        <f t="shared" si="50"/>
        <v>201</v>
      </c>
      <c r="C106" s="1" t="str">
        <f>VLOOKUP(B106,'[1]list-flat-report_SOVIII.2021-Ju'!$C$3:$G$116,5,0)</f>
        <v>Modi Housing Pvt Ltd.</v>
      </c>
      <c r="D106" s="6">
        <v>0</v>
      </c>
      <c r="E106" s="6"/>
      <c r="F106" s="6"/>
      <c r="G106" s="19"/>
      <c r="H106" s="6"/>
      <c r="I106" s="31"/>
      <c r="J106" s="29"/>
      <c r="K106" s="31"/>
      <c r="L106" s="29"/>
      <c r="M106" s="6"/>
      <c r="N106" s="6"/>
      <c r="O106" s="16"/>
      <c r="P106" s="16"/>
      <c r="Q106" s="16"/>
      <c r="R106" s="16"/>
      <c r="S106" s="6">
        <f t="shared" si="40"/>
        <v>0</v>
      </c>
      <c r="T106" s="6"/>
      <c r="U106" s="6"/>
      <c r="V106" s="6">
        <f t="shared" si="42"/>
        <v>0</v>
      </c>
      <c r="W106" s="6">
        <f t="shared" si="41"/>
        <v>0</v>
      </c>
      <c r="X106" s="16"/>
      <c r="Y106" s="47"/>
    </row>
    <row r="107" s="4" customFormat="1" ht="15" spans="1:25">
      <c r="A107" s="18">
        <f t="shared" si="51"/>
        <v>102</v>
      </c>
      <c r="B107" s="1">
        <f t="shared" si="50"/>
        <v>202</v>
      </c>
      <c r="C107" s="1" t="str">
        <f>VLOOKUP(B107,'[1]list-flat-report_SOVIII.2021-Ju'!$C$3:$G$116,5,0)</f>
        <v>Modi Housing Pvt Ltd.</v>
      </c>
      <c r="D107" s="6">
        <v>0</v>
      </c>
      <c r="E107" s="6"/>
      <c r="F107" s="6"/>
      <c r="G107" s="19"/>
      <c r="H107" s="6"/>
      <c r="I107" s="31"/>
      <c r="J107" s="29"/>
      <c r="K107" s="31"/>
      <c r="L107" s="29"/>
      <c r="M107" s="6"/>
      <c r="N107" s="6"/>
      <c r="O107" s="16"/>
      <c r="P107" s="16"/>
      <c r="Q107" s="16"/>
      <c r="R107" s="16"/>
      <c r="S107" s="6">
        <f t="shared" si="40"/>
        <v>0</v>
      </c>
      <c r="T107" s="6"/>
      <c r="U107" s="6"/>
      <c r="V107" s="6">
        <f t="shared" si="42"/>
        <v>0</v>
      </c>
      <c r="W107" s="6">
        <f t="shared" si="41"/>
        <v>0</v>
      </c>
      <c r="X107" s="16"/>
      <c r="Y107" s="47"/>
    </row>
    <row r="108" s="4" customFormat="1" ht="15" spans="1:25">
      <c r="A108" s="18">
        <f t="shared" si="51"/>
        <v>103</v>
      </c>
      <c r="B108" s="1">
        <f t="shared" si="50"/>
        <v>203</v>
      </c>
      <c r="C108" s="1" t="str">
        <f>VLOOKUP(B108,'[1]list-flat-report_SOVIII.2021-Ju'!$C$3:$G$116,5,0)</f>
        <v>Modi Housing Pvt Ltd.</v>
      </c>
      <c r="D108" s="6">
        <v>0</v>
      </c>
      <c r="E108" s="6"/>
      <c r="F108" s="6"/>
      <c r="G108" s="19"/>
      <c r="H108" s="6"/>
      <c r="I108" s="31"/>
      <c r="J108" s="29"/>
      <c r="K108" s="31"/>
      <c r="L108" s="29"/>
      <c r="M108" s="6"/>
      <c r="N108" s="6"/>
      <c r="O108" s="16"/>
      <c r="P108" s="16"/>
      <c r="Q108" s="16"/>
      <c r="R108" s="16"/>
      <c r="S108" s="6">
        <f t="shared" si="40"/>
        <v>0</v>
      </c>
      <c r="T108" s="6"/>
      <c r="U108" s="6"/>
      <c r="V108" s="6">
        <f t="shared" si="42"/>
        <v>0</v>
      </c>
      <c r="W108" s="6">
        <f t="shared" si="41"/>
        <v>0</v>
      </c>
      <c r="X108" s="16"/>
      <c r="Y108" s="47"/>
    </row>
    <row r="109" s="4" customFormat="1" ht="15" spans="1:25">
      <c r="A109" s="18">
        <f t="shared" si="51"/>
        <v>104</v>
      </c>
      <c r="B109" s="1">
        <f t="shared" si="50"/>
        <v>204</v>
      </c>
      <c r="C109" s="1" t="str">
        <f>VLOOKUP(B109,'[1]list-flat-report_SOVIII.2021-Ju'!$C$3:$G$116,5,0)</f>
        <v>Modi Housing Pvt Ltd.</v>
      </c>
      <c r="D109" s="6">
        <v>0</v>
      </c>
      <c r="E109" s="6"/>
      <c r="F109" s="6"/>
      <c r="G109" s="19"/>
      <c r="H109" s="6"/>
      <c r="I109" s="31"/>
      <c r="J109" s="29"/>
      <c r="K109" s="31"/>
      <c r="L109" s="29"/>
      <c r="M109" s="6"/>
      <c r="N109" s="6"/>
      <c r="O109" s="16"/>
      <c r="P109" s="16"/>
      <c r="Q109" s="16"/>
      <c r="R109" s="16"/>
      <c r="S109" s="6">
        <f t="shared" si="40"/>
        <v>0</v>
      </c>
      <c r="T109" s="6"/>
      <c r="U109" s="6"/>
      <c r="V109" s="6">
        <f t="shared" si="42"/>
        <v>0</v>
      </c>
      <c r="W109" s="6">
        <f t="shared" si="41"/>
        <v>0</v>
      </c>
      <c r="X109" s="16"/>
      <c r="Y109" s="47"/>
    </row>
    <row r="110" s="4" customFormat="1" ht="15" spans="1:25">
      <c r="A110" s="18">
        <f t="shared" si="51"/>
        <v>105</v>
      </c>
      <c r="B110" s="1">
        <f t="shared" si="50"/>
        <v>205</v>
      </c>
      <c r="C110" s="1" t="str">
        <f>VLOOKUP(B110,'[1]list-flat-report_SOVIII.2021-Ju'!$C$3:$G$116,5,0)</f>
        <v>Modi Housing Pvt Ltd.</v>
      </c>
      <c r="D110" s="6">
        <v>0</v>
      </c>
      <c r="E110" s="6"/>
      <c r="F110" s="6"/>
      <c r="G110" s="19"/>
      <c r="H110" s="6"/>
      <c r="I110" s="31"/>
      <c r="J110" s="29"/>
      <c r="K110" s="31"/>
      <c r="L110" s="29"/>
      <c r="M110" s="6"/>
      <c r="N110" s="6"/>
      <c r="O110" s="16"/>
      <c r="P110" s="16"/>
      <c r="Q110" s="16"/>
      <c r="R110" s="16"/>
      <c r="S110" s="6">
        <f t="shared" si="40"/>
        <v>0</v>
      </c>
      <c r="T110" s="6"/>
      <c r="U110" s="6"/>
      <c r="V110" s="6">
        <f t="shared" si="42"/>
        <v>0</v>
      </c>
      <c r="W110" s="6">
        <f t="shared" si="41"/>
        <v>0</v>
      </c>
      <c r="X110" s="16"/>
      <c r="Y110" s="47"/>
    </row>
    <row r="111" s="4" customFormat="1" ht="15" spans="1:25">
      <c r="A111" s="18">
        <f t="shared" si="51"/>
        <v>106</v>
      </c>
      <c r="B111" s="1">
        <f t="shared" si="50"/>
        <v>206</v>
      </c>
      <c r="C111" s="1" t="str">
        <f>VLOOKUP(B111,'[1]list-flat-report_SOVIII.2021-Ju'!$C$3:$G$116,5,0)</f>
        <v>Modi Housing Pvt Ltd.</v>
      </c>
      <c r="D111" s="6">
        <v>0</v>
      </c>
      <c r="E111" s="6"/>
      <c r="F111" s="6"/>
      <c r="G111" s="19"/>
      <c r="H111" s="6"/>
      <c r="I111" s="31"/>
      <c r="J111" s="29"/>
      <c r="K111" s="31"/>
      <c r="L111" s="29"/>
      <c r="M111" s="6"/>
      <c r="N111" s="6"/>
      <c r="O111" s="16"/>
      <c r="P111" s="16"/>
      <c r="Q111" s="16"/>
      <c r="R111" s="16"/>
      <c r="S111" s="6">
        <f t="shared" ref="S111:S119" si="59">J111+L111+N111+P111+R111</f>
        <v>0</v>
      </c>
      <c r="T111" s="6"/>
      <c r="U111" s="6"/>
      <c r="V111" s="6">
        <f t="shared" si="42"/>
        <v>0</v>
      </c>
      <c r="W111" s="6">
        <f t="shared" ref="W111:W119" si="60">S111-V111</f>
        <v>0</v>
      </c>
      <c r="X111" s="16"/>
      <c r="Y111" s="47"/>
    </row>
    <row r="112" s="4" customFormat="1" ht="15" spans="1:25">
      <c r="A112" s="18">
        <f t="shared" si="51"/>
        <v>107</v>
      </c>
      <c r="B112" s="1">
        <f t="shared" si="50"/>
        <v>207</v>
      </c>
      <c r="C112" s="1" t="str">
        <f>VLOOKUP(B112,'[1]list-flat-report_SOVIII.2021-Ju'!$C$3:$G$116,5,0)</f>
        <v>Modi Housing Pvt Ltd.</v>
      </c>
      <c r="D112" s="6">
        <v>0</v>
      </c>
      <c r="E112" s="6"/>
      <c r="F112" s="6"/>
      <c r="G112" s="19"/>
      <c r="H112" s="6"/>
      <c r="I112" s="31"/>
      <c r="J112" s="29"/>
      <c r="K112" s="31"/>
      <c r="L112" s="29"/>
      <c r="M112" s="6"/>
      <c r="N112" s="6"/>
      <c r="O112" s="16"/>
      <c r="P112" s="16"/>
      <c r="Q112" s="16"/>
      <c r="R112" s="16"/>
      <c r="S112" s="6">
        <f t="shared" si="59"/>
        <v>0</v>
      </c>
      <c r="T112" s="6"/>
      <c r="U112" s="6"/>
      <c r="V112" s="6">
        <f t="shared" si="42"/>
        <v>0</v>
      </c>
      <c r="W112" s="6">
        <f t="shared" si="60"/>
        <v>0</v>
      </c>
      <c r="X112" s="16"/>
      <c r="Y112" s="47"/>
    </row>
    <row r="113" s="4" customFormat="1" ht="15" spans="1:25">
      <c r="A113" s="18">
        <f t="shared" si="51"/>
        <v>108</v>
      </c>
      <c r="B113" s="1">
        <f t="shared" si="50"/>
        <v>208</v>
      </c>
      <c r="C113" s="1" t="str">
        <f>VLOOKUP(B113,'[1]list-flat-report_SOVIII.2021-Ju'!$C$3:$G$116,5,0)</f>
        <v>Modi Housing Pvt Ltd.</v>
      </c>
      <c r="D113" s="6">
        <v>0</v>
      </c>
      <c r="E113" s="6"/>
      <c r="F113" s="6"/>
      <c r="G113" s="19"/>
      <c r="H113" s="6"/>
      <c r="I113" s="31"/>
      <c r="J113" s="29"/>
      <c r="K113" s="31"/>
      <c r="L113" s="29"/>
      <c r="M113" s="6"/>
      <c r="N113" s="6"/>
      <c r="O113" s="16"/>
      <c r="P113" s="16"/>
      <c r="Q113" s="16"/>
      <c r="R113" s="16"/>
      <c r="S113" s="6">
        <f t="shared" si="59"/>
        <v>0</v>
      </c>
      <c r="T113" s="6"/>
      <c r="U113" s="6"/>
      <c r="V113" s="6">
        <f t="shared" si="42"/>
        <v>0</v>
      </c>
      <c r="W113" s="6">
        <f t="shared" si="60"/>
        <v>0</v>
      </c>
      <c r="X113" s="16"/>
      <c r="Y113" s="47"/>
    </row>
    <row r="114" s="4" customFormat="1" ht="15" spans="1:25">
      <c r="A114" s="18">
        <f t="shared" si="51"/>
        <v>109</v>
      </c>
      <c r="B114" s="1">
        <f t="shared" si="50"/>
        <v>209</v>
      </c>
      <c r="C114" s="1" t="str">
        <f>VLOOKUP(B114,'[1]list-flat-report_SOVIII.2021-Ju'!$C$3:$G$116,5,0)</f>
        <v>Modi Housing Pvt Ltd.</v>
      </c>
      <c r="D114" s="6">
        <v>0</v>
      </c>
      <c r="E114" s="6"/>
      <c r="F114" s="6"/>
      <c r="G114" s="19"/>
      <c r="H114" s="6"/>
      <c r="I114" s="31"/>
      <c r="J114" s="29"/>
      <c r="K114" s="31"/>
      <c r="L114" s="29"/>
      <c r="M114" s="6"/>
      <c r="N114" s="6"/>
      <c r="O114" s="16"/>
      <c r="P114" s="16"/>
      <c r="Q114" s="16"/>
      <c r="R114" s="16"/>
      <c r="S114" s="6">
        <f t="shared" si="59"/>
        <v>0</v>
      </c>
      <c r="T114" s="6"/>
      <c r="U114" s="6"/>
      <c r="V114" s="6">
        <f t="shared" ref="V114:V119" si="61">T114+U114</f>
        <v>0</v>
      </c>
      <c r="W114" s="6">
        <f t="shared" si="60"/>
        <v>0</v>
      </c>
      <c r="X114" s="16"/>
      <c r="Y114" s="47"/>
    </row>
    <row r="115" s="4" customFormat="1" ht="15" spans="1:25">
      <c r="A115" s="18">
        <f t="shared" si="51"/>
        <v>110</v>
      </c>
      <c r="B115" s="1">
        <f t="shared" si="50"/>
        <v>210</v>
      </c>
      <c r="C115" s="1" t="str">
        <f>VLOOKUP(B115,'[1]list-flat-report_SOVIII.2021-Ju'!$C$3:$G$116,5,0)</f>
        <v>Modi Housing Pvt Ltd.</v>
      </c>
      <c r="D115" s="6">
        <v>0</v>
      </c>
      <c r="E115" s="6"/>
      <c r="F115" s="6"/>
      <c r="G115" s="19"/>
      <c r="H115" s="6"/>
      <c r="I115" s="31"/>
      <c r="J115" s="29"/>
      <c r="K115" s="31"/>
      <c r="L115" s="29"/>
      <c r="M115" s="6"/>
      <c r="N115" s="6"/>
      <c r="O115" s="16"/>
      <c r="P115" s="16"/>
      <c r="Q115" s="16"/>
      <c r="R115" s="16"/>
      <c r="S115" s="6">
        <f t="shared" si="59"/>
        <v>0</v>
      </c>
      <c r="T115" s="6"/>
      <c r="U115" s="6"/>
      <c r="V115" s="6">
        <f t="shared" si="61"/>
        <v>0</v>
      </c>
      <c r="W115" s="6">
        <f t="shared" si="60"/>
        <v>0</v>
      </c>
      <c r="X115" s="16"/>
      <c r="Y115" s="47"/>
    </row>
    <row r="116" s="4" customFormat="1" ht="15" spans="1:25">
      <c r="A116" s="18">
        <f t="shared" si="51"/>
        <v>111</v>
      </c>
      <c r="B116" s="1">
        <f t="shared" si="50"/>
        <v>211</v>
      </c>
      <c r="C116" s="1" t="str">
        <f>VLOOKUP(B116,'[1]list-flat-report_SOVIII.2021-Ju'!$C$3:$G$116,5,0)</f>
        <v>Modi Housing Pvt Ltd.</v>
      </c>
      <c r="D116" s="6">
        <v>0</v>
      </c>
      <c r="E116" s="6"/>
      <c r="F116" s="6"/>
      <c r="G116" s="19"/>
      <c r="H116" s="6"/>
      <c r="I116" s="31"/>
      <c r="J116" s="29"/>
      <c r="K116" s="31"/>
      <c r="L116" s="29"/>
      <c r="M116" s="6"/>
      <c r="N116" s="6"/>
      <c r="O116" s="16"/>
      <c r="P116" s="16"/>
      <c r="Q116" s="16"/>
      <c r="R116" s="16"/>
      <c r="S116" s="6">
        <f t="shared" si="59"/>
        <v>0</v>
      </c>
      <c r="T116" s="6"/>
      <c r="U116" s="6"/>
      <c r="V116" s="6">
        <f t="shared" si="61"/>
        <v>0</v>
      </c>
      <c r="W116" s="6">
        <f t="shared" si="60"/>
        <v>0</v>
      </c>
      <c r="X116" s="16"/>
      <c r="Y116" s="47"/>
    </row>
    <row r="117" s="4" customFormat="1" ht="15" spans="1:25">
      <c r="A117" s="18">
        <f t="shared" si="51"/>
        <v>112</v>
      </c>
      <c r="B117" s="1">
        <f t="shared" si="50"/>
        <v>212</v>
      </c>
      <c r="C117" s="1" t="str">
        <f>VLOOKUP(B117,'[1]list-flat-report_SOVIII.2021-Ju'!$C$3:$G$116,5,0)</f>
        <v>Modi Housing Pvt Ltd.</v>
      </c>
      <c r="D117" s="6">
        <v>0</v>
      </c>
      <c r="E117" s="6"/>
      <c r="F117" s="6"/>
      <c r="G117" s="19"/>
      <c r="H117" s="6"/>
      <c r="I117" s="31"/>
      <c r="J117" s="29"/>
      <c r="K117" s="31"/>
      <c r="L117" s="29"/>
      <c r="M117" s="6"/>
      <c r="N117" s="6"/>
      <c r="O117" s="16"/>
      <c r="P117" s="16"/>
      <c r="Q117" s="16"/>
      <c r="R117" s="16"/>
      <c r="S117" s="6">
        <f t="shared" si="59"/>
        <v>0</v>
      </c>
      <c r="T117" s="6"/>
      <c r="U117" s="6"/>
      <c r="V117" s="6">
        <f t="shared" si="61"/>
        <v>0</v>
      </c>
      <c r="W117" s="6">
        <f t="shared" si="60"/>
        <v>0</v>
      </c>
      <c r="X117" s="16"/>
      <c r="Y117" s="47"/>
    </row>
    <row r="118" s="4" customFormat="1" ht="15" spans="1:25">
      <c r="A118" s="18">
        <f t="shared" si="51"/>
        <v>113</v>
      </c>
      <c r="B118" s="1">
        <f t="shared" si="50"/>
        <v>213</v>
      </c>
      <c r="C118" s="1" t="str">
        <f>VLOOKUP(B118,'[1]list-flat-report_SOVIII.2021-Ju'!$C$3:$G$116,5,0)</f>
        <v>Modi Housing Pvt Ltd.</v>
      </c>
      <c r="D118" s="6">
        <v>0</v>
      </c>
      <c r="E118" s="6"/>
      <c r="F118" s="6"/>
      <c r="G118" s="19"/>
      <c r="H118" s="6"/>
      <c r="I118" s="31"/>
      <c r="J118" s="29"/>
      <c r="K118" s="31"/>
      <c r="L118" s="29"/>
      <c r="M118" s="6"/>
      <c r="N118" s="6"/>
      <c r="O118" s="16"/>
      <c r="P118" s="16"/>
      <c r="Q118" s="16"/>
      <c r="R118" s="16"/>
      <c r="S118" s="6">
        <f t="shared" si="59"/>
        <v>0</v>
      </c>
      <c r="T118" s="6"/>
      <c r="U118" s="6"/>
      <c r="V118" s="6">
        <f t="shared" si="61"/>
        <v>0</v>
      </c>
      <c r="W118" s="6">
        <f t="shared" si="60"/>
        <v>0</v>
      </c>
      <c r="X118" s="16"/>
      <c r="Y118" s="47"/>
    </row>
    <row r="119" s="4" customFormat="1" ht="15" spans="1:25">
      <c r="A119" s="18">
        <f t="shared" si="51"/>
        <v>114</v>
      </c>
      <c r="B119" s="1">
        <f t="shared" si="50"/>
        <v>214</v>
      </c>
      <c r="C119" s="1" t="str">
        <f>VLOOKUP(B119,'[1]list-flat-report_SOVIII.2021-Ju'!$C$3:$G$116,5,0)</f>
        <v>Modi Housing Pvt Ltd.</v>
      </c>
      <c r="D119" s="6">
        <v>0</v>
      </c>
      <c r="E119" s="6"/>
      <c r="F119" s="6"/>
      <c r="G119" s="19"/>
      <c r="H119" s="6"/>
      <c r="I119" s="31"/>
      <c r="J119" s="29"/>
      <c r="K119" s="31"/>
      <c r="L119" s="29"/>
      <c r="M119" s="6"/>
      <c r="N119" s="6"/>
      <c r="O119" s="16"/>
      <c r="P119" s="16"/>
      <c r="Q119" s="16"/>
      <c r="R119" s="16"/>
      <c r="S119" s="6">
        <f t="shared" si="59"/>
        <v>0</v>
      </c>
      <c r="T119" s="6"/>
      <c r="U119" s="6"/>
      <c r="V119" s="6">
        <f t="shared" si="61"/>
        <v>0</v>
      </c>
      <c r="W119" s="6">
        <f t="shared" si="60"/>
        <v>0</v>
      </c>
      <c r="X119" s="16"/>
      <c r="Y119" s="47"/>
    </row>
    <row r="120" s="5" customFormat="1" ht="13.5" spans="4:25">
      <c r="D120" s="48">
        <f t="shared" ref="D120:H120" si="62">SUBTOTAL(9,D6:D119)</f>
        <v>442684000</v>
      </c>
      <c r="E120" s="48">
        <f t="shared" si="62"/>
        <v>265610400</v>
      </c>
      <c r="F120" s="48">
        <f t="shared" si="62"/>
        <v>10000000</v>
      </c>
      <c r="G120" s="48">
        <f t="shared" si="62"/>
        <v>255610400</v>
      </c>
      <c r="H120" s="48">
        <f t="shared" si="62"/>
        <v>63902600</v>
      </c>
      <c r="I120" s="48"/>
      <c r="J120" s="48">
        <f>SUBTOTAL(9,J6:J119)</f>
        <v>47979200</v>
      </c>
      <c r="K120" s="48"/>
      <c r="L120" s="48">
        <f>SUBTOTAL(9,L6:L119)</f>
        <v>30884500</v>
      </c>
      <c r="M120" s="48">
        <f>SUBTOTAL(9,M6:M119)</f>
        <v>133185</v>
      </c>
      <c r="N120" s="48">
        <f>SUBTOTAL(9,N6:N119)</f>
        <v>3570000</v>
      </c>
      <c r="O120" s="49">
        <f>SUBTOTAL(9,O6:O62)</f>
        <v>0</v>
      </c>
      <c r="P120" s="49">
        <f>SUBTOTAL(9,P6:P62)</f>
        <v>0</v>
      </c>
      <c r="Q120" s="49">
        <f>SUBTOTAL(9,Q6:Q62)</f>
        <v>0</v>
      </c>
      <c r="R120" s="49">
        <f>SUBTOTAL(9,R6:R62)</f>
        <v>0</v>
      </c>
      <c r="S120" s="48">
        <f t="shared" ref="S120:W120" si="63">SUBTOTAL(9,S6:S119)</f>
        <v>82433700</v>
      </c>
      <c r="T120" s="48">
        <f t="shared" si="63"/>
        <v>7800000</v>
      </c>
      <c r="U120" s="48">
        <f t="shared" si="63"/>
        <v>51508200</v>
      </c>
      <c r="V120" s="48">
        <f t="shared" si="63"/>
        <v>64814200</v>
      </c>
      <c r="W120" s="48">
        <f t="shared" si="63"/>
        <v>17544500</v>
      </c>
      <c r="X120" s="49">
        <f>SUBTOTAL(9,X6:X62)</f>
        <v>16185000</v>
      </c>
      <c r="Y120" s="49">
        <f>SUBTOTAL(9,Y6:Y62)</f>
        <v>21085000</v>
      </c>
    </row>
    <row r="121" ht="13.5" spans="8:18">
      <c r="H121" s="10"/>
      <c r="R121" s="3"/>
    </row>
    <row r="122" spans="8:24">
      <c r="H122" s="10"/>
      <c r="X122" s="46"/>
    </row>
  </sheetData>
  <autoFilter ref="A5:X119">
    <filterColumn colId="2">
      <customFilters>
        <customFilter operator="equal" val="Modi Housing Pvt Ltd."/>
      </customFilters>
    </filterColumn>
    <extLst/>
  </autoFilter>
  <printOptions gridLines="1"/>
  <pageMargins left="0.3" right="0.239583333333333" top="0.511805555555556" bottom="0.389583333333333" header="0.393055555555556" footer="0.309722222222222"/>
  <pageSetup paperSize="9" scale="66" fitToHeight="4" orientation="landscape" horizontalDpi="600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GST as on Oct 2021</vt:lpstr>
      <vt:lpstr>Exempt sales Oct 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accts</dc:creator>
  <cp:lastModifiedBy>accts</cp:lastModifiedBy>
  <dcterms:created xsi:type="dcterms:W3CDTF">2020-07-29T17:20:00Z</dcterms:created>
  <cp:lastPrinted>2021-03-23T09:06:00Z</cp:lastPrinted>
  <dcterms:modified xsi:type="dcterms:W3CDTF">2021-12-15T07:42:25Z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  <property fmtid="{D5CDD505-2E9C-101B-9397-08002B2CF9AE}" pid="3" name="KSOReadingLayout">
    <vt:bool>false</vt:bool>
  </property>
</Properties>
</file>