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<sst xmlns="http://schemas.openxmlformats.org/spreadsheetml/2006/main" count="240" uniqueCount="137">
  <si>
    <t>Project: Mayflower Platinum</t>
  </si>
  <si>
    <t>Customer Reconcilation Statement as on dt 01-02-2022</t>
  </si>
  <si>
    <t>MAYFLOWER PLATINUM</t>
  </si>
  <si>
    <t>Prepared by</t>
  </si>
  <si>
    <t>SANGEETHA</t>
  </si>
  <si>
    <t>Customer Reconcilation as on 01-02-2022</t>
  </si>
  <si>
    <t>Date</t>
  </si>
  <si>
    <t>A</t>
  </si>
  <si>
    <t>D</t>
  </si>
  <si>
    <t>E</t>
  </si>
  <si>
    <t>F= B+C+D-E</t>
  </si>
  <si>
    <t>F= A+C-D</t>
  </si>
  <si>
    <t>Sno.</t>
  </si>
  <si>
    <t>Buyer Name</t>
  </si>
  <si>
    <t>Block</t>
  </si>
  <si>
    <t>Villa/Cottage</t>
  </si>
  <si>
    <t>Sale Consideration</t>
  </si>
  <si>
    <t>Installments Received 19-20</t>
  </si>
  <si>
    <t>Installments Received 20-21</t>
  </si>
  <si>
    <t>Installments Received 21-22</t>
  </si>
  <si>
    <t>Property Tax</t>
  </si>
  <si>
    <t>GST</t>
  </si>
  <si>
    <t>Reg charges / Other Expenses</t>
  </si>
  <si>
    <t>Amounts received FY 2019-20</t>
  </si>
  <si>
    <t>Amounts received FY 2020-21</t>
  </si>
  <si>
    <t>Amounts received FY 2021-22</t>
  </si>
  <si>
    <t>Balance as per tally</t>
  </si>
  <si>
    <t>Balance as per data base</t>
  </si>
  <si>
    <t>Mrs. Rahila Bhanu Liaquat</t>
  </si>
  <si>
    <t>Ballary Madhavi Latha</t>
  </si>
  <si>
    <t>A Mohan Ganesh/G.Sita Madhavi</t>
  </si>
  <si>
    <t>T Sita Lakshmi</t>
  </si>
  <si>
    <t>Mr. Peruri Suryanarayana Rao</t>
  </si>
  <si>
    <t>Shaini P Srinivas</t>
  </si>
  <si>
    <t>Pradeep Kumar Nara</t>
  </si>
  <si>
    <t>Dr.G.Narasimha rao</t>
  </si>
  <si>
    <t>Samir Christopher Hartnett</t>
  </si>
  <si>
    <t>Ramdas Duggirala</t>
  </si>
  <si>
    <t>Modem Chandra Shekhar</t>
  </si>
  <si>
    <t>Pulakanti Moham Rao / Rama Devi</t>
  </si>
  <si>
    <t>Puram srinitha</t>
  </si>
  <si>
    <t>Razia ahamed</t>
  </si>
  <si>
    <t>Sabbani Supriya</t>
  </si>
  <si>
    <t>M Surekha</t>
  </si>
  <si>
    <t>Ankita Patnaik/Rakesh Kumar Pattnaik</t>
  </si>
  <si>
    <t>Milind Madhav Rao challawar</t>
  </si>
  <si>
    <t>Samia ali Khan</t>
  </si>
  <si>
    <t>Madgula Ashwini</t>
  </si>
  <si>
    <t>S. A. Zaheer Ahamed</t>
  </si>
  <si>
    <t>Mamilla Sunitha</t>
  </si>
  <si>
    <t>Jagana Lokesh / Lalitha Kumari. P</t>
  </si>
  <si>
    <t>Ms. B. Hyma</t>
  </si>
  <si>
    <t>Bahadur Singh Malik</t>
  </si>
  <si>
    <t>Tummi Usha Rani</t>
  </si>
  <si>
    <t>Nukala Sarika</t>
  </si>
  <si>
    <t>P Vikas Harsha/P Sheetal Mohan das</t>
  </si>
  <si>
    <t>Kailash kaur Malik</t>
  </si>
  <si>
    <t xml:space="preserve">Rashmi </t>
  </si>
  <si>
    <t>Gaurav Chawla</t>
  </si>
  <si>
    <t>Madhusudhan Rachakonda</t>
  </si>
  <si>
    <t>Kshirsagar Sadanand/Bhavesh Sadanand</t>
  </si>
  <si>
    <t>Evani Annapurna Soumya</t>
  </si>
  <si>
    <t>P S Arun</t>
  </si>
  <si>
    <t>Debabrata Saha</t>
  </si>
  <si>
    <t>Thota Raja Bala Subrahmanyam</t>
  </si>
  <si>
    <t>K Raghavendra Prasad</t>
  </si>
  <si>
    <t>Sajja Mohan Srinivas Ravindra/Tirumalamba</t>
  </si>
  <si>
    <t>Syed Mazhar Ali</t>
  </si>
  <si>
    <t>Neelam Pandey</t>
  </si>
  <si>
    <t xml:space="preserve">Abhinav Chowdary / Vijay Kumar / Ram </t>
  </si>
  <si>
    <t>Bharath Bushan</t>
  </si>
  <si>
    <t>TOTAL - A BLOCK</t>
  </si>
  <si>
    <t>Jagdish Balasubramaniam</t>
  </si>
  <si>
    <t>B</t>
  </si>
  <si>
    <t>Sanjeeb Dey</t>
  </si>
  <si>
    <t>Thilek Kumar Muniyappan</t>
  </si>
  <si>
    <t>Muthyala Bala Ambika/MBS Gopal Naidu</t>
  </si>
  <si>
    <t>Sircilla Chandrashekar</t>
  </si>
  <si>
    <t>Pavan Kumar</t>
  </si>
  <si>
    <t>Ponguru Ramesh</t>
  </si>
  <si>
    <t>Sircilla Shivaraj</t>
  </si>
  <si>
    <t>Madhava Rao Nishal</t>
  </si>
  <si>
    <t>KV Lakshmi/K Nageshwara Rao</t>
  </si>
  <si>
    <t>Shaik Chand Basha</t>
  </si>
  <si>
    <t>Hameed Khan/Rukhaya Begum</t>
  </si>
  <si>
    <t>Vavilala Raghavendra Kumar</t>
  </si>
  <si>
    <t>Gulshan kumar</t>
  </si>
  <si>
    <t>Bharadwaja Mudigonda/Niharika Kasturi</t>
  </si>
  <si>
    <t>Suresh KV</t>
  </si>
  <si>
    <t>Gaddam Shailaja/L Ramesh Babu</t>
  </si>
  <si>
    <t>Dr Sunkara Rajeshwara Rao/</t>
  </si>
  <si>
    <t>C Narahari  Sujatha / Vijaya Bhaskar B</t>
  </si>
  <si>
    <t>Joysula Venkata Krishna/ J Kamala</t>
  </si>
  <si>
    <t>Indranil Mukherjee/Smita</t>
  </si>
  <si>
    <t>Kanaparti Jayanthi</t>
  </si>
  <si>
    <t>Mrs Kolli Baby Rani</t>
  </si>
  <si>
    <t>Thota Surya Kiran</t>
  </si>
  <si>
    <t>T Radhika</t>
  </si>
  <si>
    <t>TOTAL - B BLOCK</t>
  </si>
  <si>
    <t>Gadepaka Bhaskar Vinay</t>
  </si>
  <si>
    <t>C</t>
  </si>
  <si>
    <t>Seshank Reddy Alamgari</t>
  </si>
  <si>
    <t>Anil Kumar Vangipurapu</t>
  </si>
  <si>
    <t>Akkapeddi Nagalakshmi &amp; ASV Murthy</t>
  </si>
  <si>
    <t>Kailesh Panday</t>
  </si>
  <si>
    <t>Aishwarya Acharya/NCLN Charyulu</t>
  </si>
  <si>
    <t>NT Sunil Babu</t>
  </si>
  <si>
    <t>jagdish Thopu</t>
  </si>
  <si>
    <t>MRs K Karunasree/MR PR Venkat T Rao</t>
  </si>
  <si>
    <t>Mr Tadavarthy Vasudev</t>
  </si>
  <si>
    <t>Choudary Om Prakash</t>
  </si>
  <si>
    <t>S Srilatha &amp; S Someshwar Reddy</t>
  </si>
  <si>
    <t>BN Priyanka</t>
  </si>
  <si>
    <t>Veeraganta Subramanyam /subhadra</t>
  </si>
  <si>
    <t>Kadali Lakshmi Surekha / K Sreenivasa Rao</t>
  </si>
  <si>
    <t>Sai Phani Devi/Arunkanth</t>
  </si>
  <si>
    <t>Arun Agrawal</t>
  </si>
  <si>
    <t>B.prabhakar Bandar Palli</t>
  </si>
  <si>
    <t>Akku Mahanty Manoj Kumar/A Balatripura</t>
  </si>
  <si>
    <t>Rajeshwari Desai/Santosh Desai</t>
  </si>
  <si>
    <t>Jonnal Renuka</t>
  </si>
  <si>
    <t>Manoj Kumar Srivastava / Sadhana Srivastava</t>
  </si>
  <si>
    <t>Mr Abhijit Chaudhari</t>
  </si>
  <si>
    <t>L E V Rajiv Kumar / C Keerthana</t>
  </si>
  <si>
    <t>Sreeramoju Usha</t>
  </si>
  <si>
    <t>Moka Subba Rao</t>
  </si>
  <si>
    <t>Panjala Anjaneyulu Goud</t>
  </si>
  <si>
    <t>Mamta Shribhayye/Chandan Shirbhayee</t>
  </si>
  <si>
    <t>Mary Swarnalatha Maddela</t>
  </si>
  <si>
    <t>G Sree Lakshmi/G.Venkateshwar Reddy</t>
  </si>
  <si>
    <t>Venkata Mohan Rao Mula</t>
  </si>
  <si>
    <t>Kishore R.N</t>
  </si>
  <si>
    <t>Nazia Khalid Golandaz / Khalid Nasrulla</t>
  </si>
  <si>
    <t>Narayana Rao BV</t>
  </si>
  <si>
    <t>Sampath Reddy</t>
  </si>
  <si>
    <t>TOTAL - C BLOCK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</si>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</sst>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* #,##0_ ;_ * \-#,##0_ ;_ * &quot;-&quot;_ ;_ @_ "/>
    <numFmt numFmtId="180" formatCode="_(* #,##0_);_(* \(#,##0\);_(* &quot;-&quot;??_);_(@_)"/>
    <numFmt numFmtId="181" formatCode="dd/mm/yyyy"/>
    <numFmt numFmtId="182" formatCode="_ * #,##0_ ;_ * \-#,##0_ ;_ * &quot;-&quot;??_ ;_ @_ "/>
  </numFmts>
  <fonts count="2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name val="Times New Roman"/>
      <charset val="134"/>
    </font>
    <font>
      <b/>
      <sz val="9.5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/>
    <xf numFmtId="0" fontId="13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80" fontId="1" fillId="0" borderId="0" xfId="2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80" fontId="1" fillId="0" borderId="0" xfId="2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80" fontId="1" fillId="0" borderId="0" xfId="2" applyNumberFormat="1" applyFont="1" applyFill="1" applyAlignment="1">
      <alignment horizontal="left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180" fontId="1" fillId="0" borderId="0" xfId="2" applyNumberFormat="1" applyFont="1" applyFill="1" applyAlignment="1"/>
    <xf numFmtId="0" fontId="4" fillId="0" borderId="1" xfId="38" applyFont="1" applyFill="1" applyBorder="1"/>
    <xf numFmtId="0" fontId="1" fillId="0" borderId="1" xfId="0" applyFont="1" applyFill="1" applyBorder="1" applyAlignment="1"/>
    <xf numFmtId="0" fontId="5" fillId="0" borderId="1" xfId="33" applyFont="1" applyFill="1" applyBorder="1" applyAlignment="1"/>
    <xf numFmtId="180" fontId="1" fillId="0" borderId="1" xfId="2" applyNumberFormat="1" applyFont="1" applyFill="1" applyBorder="1" applyAlignment="1"/>
    <xf numFmtId="0" fontId="1" fillId="0" borderId="0" xfId="38" applyFont="1" applyFill="1"/>
    <xf numFmtId="0" fontId="2" fillId="0" borderId="0" xfId="33" applyFont="1" applyFill="1" applyAlignment="1"/>
    <xf numFmtId="181" fontId="1" fillId="0" borderId="0" xfId="2" applyNumberFormat="1" applyFont="1" applyFill="1" applyAlignment="1">
      <alignment horizontal="left" vertical="center"/>
    </xf>
    <xf numFmtId="180" fontId="1" fillId="0" borderId="0" xfId="2" applyNumberFormat="1" applyFont="1" applyFill="1" applyAlignment="1">
      <alignment horizontal="center" vertical="center" wrapText="1"/>
    </xf>
    <xf numFmtId="180" fontId="1" fillId="0" borderId="0" xfId="2" applyNumberFormat="1" applyFont="1" applyFill="1" applyAlignment="1">
      <alignment horizontal="left" vertical="center" wrapText="1"/>
    </xf>
    <xf numFmtId="180" fontId="1" fillId="2" borderId="0" xfId="2" applyNumberFormat="1" applyFont="1" applyFill="1" applyAlignment="1">
      <alignment horizontal="left" vertical="center"/>
    </xf>
    <xf numFmtId="180" fontId="1" fillId="2" borderId="0" xfId="2" applyNumberFormat="1" applyFont="1" applyFill="1" applyAlignment="1"/>
    <xf numFmtId="0" fontId="1" fillId="0" borderId="1" xfId="8" applyFont="1" applyFill="1" applyBorder="1"/>
    <xf numFmtId="0" fontId="1" fillId="0" borderId="0" xfId="48" applyFont="1" applyFill="1"/>
    <xf numFmtId="0" fontId="1" fillId="0" borderId="0" xfId="8" applyFont="1" applyFill="1"/>
    <xf numFmtId="0" fontId="2" fillId="0" borderId="0" xfId="8" applyFont="1" applyFill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/>
    <xf numFmtId="180" fontId="6" fillId="0" borderId="2" xfId="2" applyNumberFormat="1" applyFont="1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182" fontId="1" fillId="0" borderId="0" xfId="2" applyNumberFormat="1" applyFont="1" applyFill="1" applyAlignment="1"/>
    <xf numFmtId="180" fontId="3" fillId="0" borderId="0" xfId="2" applyNumberFormat="1" applyFont="1" applyFill="1" applyAlignment="1"/>
    <xf numFmtId="180" fontId="1" fillId="0" borderId="0" xfId="2" applyNumberFormat="1" applyFont="1" applyFill="1" applyAlignment="1"/>
    <xf numFmtId="0" fontId="1" fillId="0" borderId="0" xfId="0" applyFont="1" applyFill="1" applyAlignment="1">
      <alignment horizontal="left" vertical="center" wrapText="1"/>
    </xf>
    <xf numFmtId="182" fontId="1" fillId="0" borderId="0" xfId="2" applyNumberFormat="1" applyFont="1" applyFill="1" applyAlignment="1">
      <alignment horizontal="left" vertical="center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 5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Normal 2" xfId="33"/>
    <cellStyle name="20% - Accent5" xfId="34" builtinId="46"/>
    <cellStyle name="60% - Accent1" xfId="35" builtinId="32"/>
    <cellStyle name="Accent2" xfId="36" builtinId="33"/>
    <cellStyle name="20% - Accent2" xfId="37" builtinId="34"/>
    <cellStyle name="Normal 3" xfId="38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40% - Accent5" xfId="47" builtinId="47"/>
    <cellStyle name="Normal 6" xfId="48"/>
    <cellStyle name="60% - Accent5" xfId="49" builtinId="48"/>
    <cellStyle name="Accent6" xfId="50" builtinId="49"/>
    <cellStyle name="40% - Accent6" xfId="51" builtinId="51"/>
    <cellStyle name="60% - Accent6" xfId="52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9"/>
  <sheetViews>
    <sheetView tabSelected="1" view="pageBreakPreview" zoomScaleNormal="100" workbookViewId="0">
      <selection activeCell="F8" sqref="F8"/>
    </sheetView>
  </sheetViews>
  <sheetFormatPr defaultColWidth="9.14285714285714" defaultRowHeight="15"/>
  <cols>
    <col min="1" max="1" width="4.85714285714286" style="2" customWidth="1"/>
    <col min="2" max="2" width="20.5714285714286" style="2" customWidth="1"/>
    <col min="3" max="3" width="4.28571428571429" style="2" customWidth="1"/>
    <col min="4" max="4" width="6.14285714285714" style="3" customWidth="1"/>
    <col min="5" max="5" width="14" style="4" customWidth="1"/>
    <col min="6" max="6" width="15.2857142857143" style="4" customWidth="1"/>
    <col min="7" max="7" width="14" style="4" customWidth="1"/>
    <col min="8" max="8" width="12" style="4" customWidth="1"/>
    <col min="9" max="9" width="9.42857142857143" style="4" customWidth="1"/>
    <col min="10" max="10" width="12.8571428571429" style="4" customWidth="1"/>
    <col min="11" max="11" width="12.1428571428571" style="4" customWidth="1"/>
    <col min="12" max="13" width="14" style="4" customWidth="1"/>
    <col min="14" max="14" width="11.5714285714286" style="4" customWidth="1"/>
    <col min="15" max="16" width="14.8571428571429" style="4" customWidth="1"/>
    <col min="17" max="17" width="13.1428571428571" style="4" customWidth="1"/>
    <col min="18" max="16384" width="9.14285714285714" style="5"/>
  </cols>
  <sheetData>
    <row r="1" spans="1:1">
      <c r="A1" s="2" t="s">
        <v>0</v>
      </c>
    </row>
    <row r="2" spans="1:4">
      <c r="A2" s="2" t="s">
        <v>1</v>
      </c>
      <c r="D2" s="6"/>
    </row>
    <row r="4" spans="1:16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" t="s">
        <v>3</v>
      </c>
      <c r="P4" s="9" t="s">
        <v>4</v>
      </c>
    </row>
    <row r="5" spans="1:16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 t="s">
        <v>6</v>
      </c>
      <c r="P5" s="22">
        <v>44593</v>
      </c>
    </row>
    <row r="6" spans="1:16">
      <c r="A6" s="7"/>
      <c r="B6" s="7"/>
      <c r="C6" s="7"/>
      <c r="D6" s="8"/>
      <c r="E6" s="9" t="s">
        <v>7</v>
      </c>
      <c r="F6" s="9"/>
      <c r="G6" s="9"/>
      <c r="H6" s="9"/>
      <c r="I6" s="9"/>
      <c r="J6" s="9"/>
      <c r="K6" s="9" t="s">
        <v>8</v>
      </c>
      <c r="L6" s="9" t="s">
        <v>9</v>
      </c>
      <c r="M6" s="9"/>
      <c r="N6" s="9"/>
      <c r="O6" s="9" t="s">
        <v>10</v>
      </c>
      <c r="P6" s="9" t="s">
        <v>11</v>
      </c>
    </row>
    <row r="7" ht="45" spans="1:17">
      <c r="A7" s="10" t="s">
        <v>12</v>
      </c>
      <c r="B7" s="10" t="s">
        <v>13</v>
      </c>
      <c r="C7" s="10" t="s">
        <v>14</v>
      </c>
      <c r="D7" s="11" t="s">
        <v>15</v>
      </c>
      <c r="E7" s="12" t="s">
        <v>16</v>
      </c>
      <c r="F7" s="12" t="s">
        <v>17</v>
      </c>
      <c r="G7" s="12" t="s">
        <v>18</v>
      </c>
      <c r="H7" s="12" t="s">
        <v>19</v>
      </c>
      <c r="I7" s="12" t="s">
        <v>20</v>
      </c>
      <c r="J7" s="12" t="s">
        <v>21</v>
      </c>
      <c r="K7" s="12" t="s">
        <v>22</v>
      </c>
      <c r="L7" s="23" t="s">
        <v>23</v>
      </c>
      <c r="M7" s="23" t="s">
        <v>24</v>
      </c>
      <c r="N7" s="23" t="s">
        <v>25</v>
      </c>
      <c r="O7" s="12" t="s">
        <v>26</v>
      </c>
      <c r="P7" s="12" t="s">
        <v>27</v>
      </c>
      <c r="Q7" s="24"/>
    </row>
    <row r="8" spans="1:16">
      <c r="A8" s="10">
        <v>1</v>
      </c>
      <c r="B8" s="13" t="s">
        <v>28</v>
      </c>
      <c r="C8" s="13" t="s">
        <v>7</v>
      </c>
      <c r="D8" s="14">
        <v>105</v>
      </c>
      <c r="E8" s="15">
        <v>6474500</v>
      </c>
      <c r="F8" s="9">
        <f>225000+971175+2639173+1583497</f>
        <v>5418845</v>
      </c>
      <c r="G8" s="9">
        <f>855655</f>
        <v>855655</v>
      </c>
      <c r="H8" s="9"/>
      <c r="I8" s="9"/>
      <c r="J8" s="9">
        <f>5625+5625+24279.38+24279.38+65979.33+65979.33+39587.43+39587.37+21391.38+21391.38</f>
        <v>313724.98</v>
      </c>
      <c r="K8" s="15">
        <f>493012+5428</f>
        <v>498440</v>
      </c>
      <c r="L8" s="15">
        <f>25000+200000+485587+485588+1319586+1319587+1319576+1319576</f>
        <v>6474500</v>
      </c>
      <c r="M8" s="15"/>
      <c r="N8" s="15">
        <f>250000+491000</f>
        <v>741000</v>
      </c>
      <c r="O8" s="9">
        <f t="shared" ref="O8:O51" si="0">F8+G8+H8+I8+J8+K8-L8-M8-N8</f>
        <v>-128835.02</v>
      </c>
      <c r="P8" s="15">
        <f t="shared" ref="P8:P51" si="1">E8+K8-L8+J8+I8-M8-N8</f>
        <v>71164.98</v>
      </c>
    </row>
    <row r="9" spans="1:16">
      <c r="A9" s="10">
        <v>2</v>
      </c>
      <c r="B9" s="13" t="s">
        <v>29</v>
      </c>
      <c r="C9" s="13" t="s">
        <v>7</v>
      </c>
      <c r="D9" s="14">
        <v>107</v>
      </c>
      <c r="E9" s="15">
        <v>7413000</v>
      </c>
      <c r="F9" s="9">
        <f>225000+1111980+3038110+1822866</f>
        <v>6197956</v>
      </c>
      <c r="G9" s="9"/>
      <c r="H9" s="9">
        <f>1015244+199800</f>
        <v>1215044</v>
      </c>
      <c r="I9" s="9"/>
      <c r="J9" s="9">
        <f>7413000*5%</f>
        <v>370650</v>
      </c>
      <c r="K9" s="15">
        <f>-40749+5074+71969</f>
        <v>36294</v>
      </c>
      <c r="L9" s="15">
        <f>25000+200000+411980+700000+300000+800000+800000+800000+337910</f>
        <v>4374890</v>
      </c>
      <c r="M9" s="15">
        <f>1822866</f>
        <v>1822866</v>
      </c>
      <c r="N9" s="15">
        <f>370650+6000+1177134</f>
        <v>1553784</v>
      </c>
      <c r="O9" s="9">
        <f>F9+G9+H9+I9+J9+K9-L9-M9-N9-1</f>
        <v>68403</v>
      </c>
      <c r="P9" s="15">
        <f>E9+K9-L9+J9+I9-M9-N9-1</f>
        <v>68403</v>
      </c>
    </row>
    <row r="10" spans="1:16">
      <c r="A10" s="10">
        <v>3</v>
      </c>
      <c r="B10" s="13" t="s">
        <v>30</v>
      </c>
      <c r="C10" s="13" t="s">
        <v>7</v>
      </c>
      <c r="D10" s="14">
        <v>108</v>
      </c>
      <c r="E10" s="15">
        <v>6053000</v>
      </c>
      <c r="F10" s="9">
        <f>225000+57950+2885025+1731015</f>
        <v>4898990</v>
      </c>
      <c r="G10" s="9"/>
      <c r="H10" s="9">
        <f>954010+200000</f>
        <v>1154010</v>
      </c>
      <c r="I10" s="9"/>
      <c r="J10" s="9">
        <f>14148+72125.63+72125.63+43275.38+43275.38+23850.25+23850.25+5000+5000</f>
        <v>302650.52</v>
      </c>
      <c r="K10" s="15">
        <f>460039+5074+59576.2</f>
        <v>524689.2</v>
      </c>
      <c r="L10" s="15">
        <f>25000+200000+57950+288500+900000+900000+796525+900000+831015</f>
        <v>4898990</v>
      </c>
      <c r="M10" s="15">
        <v>0</v>
      </c>
      <c r="N10" s="15">
        <f>900000+562660+460028+58663</f>
        <v>1981351</v>
      </c>
      <c r="O10" s="9">
        <f t="shared" si="0"/>
        <v>-1.28000000026077</v>
      </c>
      <c r="P10" s="15">
        <f t="shared" si="1"/>
        <v>-1.27999999979511</v>
      </c>
    </row>
    <row r="11" spans="1:16">
      <c r="A11" s="10">
        <v>4</v>
      </c>
      <c r="B11" s="13" t="s">
        <v>31</v>
      </c>
      <c r="C11" s="13" t="s">
        <v>7</v>
      </c>
      <c r="D11" s="14">
        <v>301</v>
      </c>
      <c r="E11" s="15">
        <v>6275000</v>
      </c>
      <c r="F11" s="9">
        <f>225000+941250+2554375+1532625</f>
        <v>5253250</v>
      </c>
      <c r="G11" s="9">
        <f>821750</f>
        <v>821750</v>
      </c>
      <c r="H11" s="9">
        <v>200000</v>
      </c>
      <c r="I11" s="9"/>
      <c r="J11" s="9">
        <f>5625+5625+23531.25+23531.25+127718.76+38315.63+38315.63+20543.75+20543.75+5000+5000</f>
        <v>313750.02</v>
      </c>
      <c r="K11" s="15">
        <f>5074-32181+27106</f>
        <v>-1</v>
      </c>
      <c r="L11" s="15">
        <f>25000+200000+941250+1054375+1500000</f>
        <v>3720625</v>
      </c>
      <c r="M11" s="15">
        <f>532625+1021750+650000</f>
        <v>2204375</v>
      </c>
      <c r="N11" s="15">
        <f>450000+213750</f>
        <v>663750</v>
      </c>
      <c r="O11" s="9">
        <f t="shared" si="0"/>
        <v>-0.980000000447035</v>
      </c>
      <c r="P11" s="15">
        <f t="shared" si="1"/>
        <v>-0.979999999981374</v>
      </c>
    </row>
    <row r="12" spans="1:16">
      <c r="A12" s="10">
        <v>5</v>
      </c>
      <c r="B12" s="13" t="s">
        <v>32</v>
      </c>
      <c r="C12" s="13" t="s">
        <v>7</v>
      </c>
      <c r="D12" s="14">
        <v>304</v>
      </c>
      <c r="E12" s="15">
        <v>6123500</v>
      </c>
      <c r="F12" s="9">
        <f>225000+918525+2489987</f>
        <v>3633512</v>
      </c>
      <c r="G12" s="9">
        <f>1493993+795995</f>
        <v>2289988</v>
      </c>
      <c r="H12" s="9">
        <f>200000</f>
        <v>200000</v>
      </c>
      <c r="I12" s="9"/>
      <c r="J12" s="9">
        <f>5625+5625+22963.13+22963.13+62249.68+62249.68+37349.83+37349.83+19899.88+19899.88+5000+5000</f>
        <v>306175.04</v>
      </c>
      <c r="K12" s="15">
        <f>6514-61235+55647+5074</f>
        <v>6000</v>
      </c>
      <c r="L12" s="15">
        <f>25000+200000+918525+2489987</f>
        <v>3633512</v>
      </c>
      <c r="M12" s="15">
        <f>1493993+400100+396020</f>
        <v>2290113</v>
      </c>
      <c r="N12" s="15">
        <f>12050+500000</f>
        <v>512050</v>
      </c>
      <c r="O12" s="9">
        <f t="shared" si="0"/>
        <v>0.0400000000372529</v>
      </c>
      <c r="P12" s="15">
        <f t="shared" si="1"/>
        <v>0.0400000000372529</v>
      </c>
    </row>
    <row r="13" spans="1:16">
      <c r="A13" s="10">
        <v>6</v>
      </c>
      <c r="B13" s="13" t="s">
        <v>33</v>
      </c>
      <c r="C13" s="13" t="s">
        <v>7</v>
      </c>
      <c r="D13" s="14">
        <v>305</v>
      </c>
      <c r="E13" s="15">
        <v>4923000</v>
      </c>
      <c r="F13" s="9">
        <f>225000+73450+2162275+1357365</f>
        <v>3818090</v>
      </c>
      <c r="G13" s="9">
        <v>904910</v>
      </c>
      <c r="H13" s="9">
        <v>0</v>
      </c>
      <c r="I13" s="9"/>
      <c r="J13" s="9">
        <f>5625+5625+1836.25+1836.25+54056.88+54056.88+33934.13+33934.13+22622.75+22622.75</f>
        <v>236150.02</v>
      </c>
      <c r="K13" s="15"/>
      <c r="L13" s="15">
        <f>25000+200000+73450+1980000</f>
        <v>2278450</v>
      </c>
      <c r="M13" s="15">
        <f>200000+900000+200000+600000</f>
        <v>1900000</v>
      </c>
      <c r="N13" s="15"/>
      <c r="O13" s="9">
        <f t="shared" si="0"/>
        <v>780700.02</v>
      </c>
      <c r="P13" s="15">
        <f t="shared" si="1"/>
        <v>980700.02</v>
      </c>
    </row>
    <row r="14" spans="1:16">
      <c r="A14" s="10">
        <v>7</v>
      </c>
      <c r="B14" s="13" t="s">
        <v>34</v>
      </c>
      <c r="C14" s="13" t="s">
        <v>7</v>
      </c>
      <c r="D14" s="14">
        <v>306</v>
      </c>
      <c r="E14" s="15">
        <v>6000000</v>
      </c>
      <c r="F14" s="9">
        <f>225000+10000+2841700</f>
        <v>3076700</v>
      </c>
      <c r="G14" s="9">
        <f>1754000+969300</f>
        <v>2723300</v>
      </c>
      <c r="H14" s="9"/>
      <c r="I14" s="9"/>
      <c r="J14" s="9">
        <f>5625+5625+250+250+71042.5+71042.5+43850+43850+24232.5+24232.5</f>
        <v>290000</v>
      </c>
      <c r="K14" s="15">
        <v>5428</v>
      </c>
      <c r="L14" s="15">
        <f>25000+200000+10000+300000+2841700</f>
        <v>3376700</v>
      </c>
      <c r="M14" s="15">
        <f>800000+200000+800000</f>
        <v>1800000</v>
      </c>
      <c r="N14" s="15">
        <f>165000+306000+658029</f>
        <v>1129029</v>
      </c>
      <c r="O14" s="9">
        <f t="shared" si="0"/>
        <v>-210301</v>
      </c>
      <c r="P14" s="15">
        <f t="shared" si="1"/>
        <v>-10301</v>
      </c>
    </row>
    <row r="15" spans="1:16">
      <c r="A15" s="10">
        <v>8</v>
      </c>
      <c r="B15" s="13" t="s">
        <v>35</v>
      </c>
      <c r="C15" s="13" t="s">
        <v>7</v>
      </c>
      <c r="D15" s="14">
        <v>401</v>
      </c>
      <c r="E15" s="15">
        <v>6275000</v>
      </c>
      <c r="F15" s="9">
        <f>225000+941250+2554375</f>
        <v>3720625</v>
      </c>
      <c r="G15" s="9">
        <f>1532625+821750</f>
        <v>2354375</v>
      </c>
      <c r="H15" s="9">
        <v>200000</v>
      </c>
      <c r="I15" s="9"/>
      <c r="J15" s="9">
        <f>5625+5625+23531.25+23531.25+63859.38+63859.38+38315.63+38315.63+20543.75+20543.75+1+5000+5000</f>
        <v>313751.02</v>
      </c>
      <c r="K15" s="15">
        <f>5074-32181+27106</f>
        <v>-1</v>
      </c>
      <c r="L15" s="15">
        <f>25000+200000+941250+1654375+900000</f>
        <v>3720625</v>
      </c>
      <c r="M15" s="15">
        <f>1000000+32625+500000+500000+200000</f>
        <v>2232625</v>
      </c>
      <c r="N15" s="15">
        <v>635500</v>
      </c>
      <c r="O15" s="9">
        <f t="shared" si="0"/>
        <v>0.0199999995529652</v>
      </c>
      <c r="P15" s="15">
        <f t="shared" si="1"/>
        <v>0.0200000000186265</v>
      </c>
    </row>
    <row r="16" spans="1:16">
      <c r="A16" s="10">
        <v>9</v>
      </c>
      <c r="B16" s="13" t="s">
        <v>36</v>
      </c>
      <c r="C16" s="13" t="s">
        <v>7</v>
      </c>
      <c r="D16" s="14">
        <v>402</v>
      </c>
      <c r="E16" s="15">
        <v>4423500</v>
      </c>
      <c r="F16" s="9">
        <f>225000+663100+1767700</f>
        <v>2655800</v>
      </c>
      <c r="G16" s="9">
        <f>1060620+507080</f>
        <v>1567700</v>
      </c>
      <c r="H16" s="9"/>
      <c r="I16" s="9"/>
      <c r="J16" s="9">
        <f>5625+5625+16577.5+16577.5+44192.5+44192.5+26515.5+26515.5+12677+12677</f>
        <v>211175</v>
      </c>
      <c r="K16" s="15"/>
      <c r="L16" s="15">
        <f>25000+650000</f>
        <v>675000</v>
      </c>
      <c r="M16" s="15">
        <f>250000</f>
        <v>250000</v>
      </c>
      <c r="N16" s="15">
        <f>2500000+1000000</f>
        <v>3500000</v>
      </c>
      <c r="O16" s="9">
        <f t="shared" si="0"/>
        <v>9675</v>
      </c>
      <c r="P16" s="15">
        <f t="shared" si="1"/>
        <v>209675</v>
      </c>
    </row>
    <row r="17" spans="1:16">
      <c r="A17" s="10">
        <v>10</v>
      </c>
      <c r="B17" s="13" t="s">
        <v>37</v>
      </c>
      <c r="C17" s="13" t="s">
        <v>7</v>
      </c>
      <c r="D17" s="14">
        <v>403</v>
      </c>
      <c r="E17" s="15">
        <v>5823500</v>
      </c>
      <c r="F17" s="9">
        <f t="shared" ref="F17:F22" si="2">225000+873525+2362488</f>
        <v>3461013</v>
      </c>
      <c r="G17" s="9">
        <f t="shared" ref="G17:G22" si="3">1417492+744995</f>
        <v>2162487</v>
      </c>
      <c r="H17" s="9"/>
      <c r="I17" s="9"/>
      <c r="J17" s="9">
        <f>5625+5625+21838.13+21838.13+59062.2+59062.2+35437.3+35437.3+18624.88+18624.88</f>
        <v>281175.02</v>
      </c>
      <c r="K17" s="15"/>
      <c r="L17" s="15">
        <f>25000+200000+873525+2362488</f>
        <v>3461013</v>
      </c>
      <c r="M17" s="15">
        <f>800000+617492+744995</f>
        <v>2162487</v>
      </c>
      <c r="N17" s="15"/>
      <c r="O17" s="9">
        <f t="shared" si="0"/>
        <v>281175.02</v>
      </c>
      <c r="P17" s="15">
        <f t="shared" si="1"/>
        <v>481175.02</v>
      </c>
    </row>
    <row r="18" spans="1:16">
      <c r="A18" s="10">
        <v>11</v>
      </c>
      <c r="B18" s="13" t="s">
        <v>38</v>
      </c>
      <c r="C18" s="13" t="s">
        <v>7</v>
      </c>
      <c r="D18" s="14">
        <v>404</v>
      </c>
      <c r="E18" s="15">
        <v>6086000</v>
      </c>
      <c r="F18" s="9">
        <f>225000+912900+2474050</f>
        <v>3611950</v>
      </c>
      <c r="G18" s="9">
        <f>1484430+789620</f>
        <v>2274050</v>
      </c>
      <c r="H18" s="9"/>
      <c r="I18" s="9"/>
      <c r="J18" s="9">
        <f>5625+5625+22822.5+22822.5+61851.25+61851.25+37110.75+37110.75+19740.5+19740.5</f>
        <v>294300</v>
      </c>
      <c r="K18" s="15"/>
      <c r="L18" s="15">
        <f>25000+200000+912900+2474050</f>
        <v>3611950</v>
      </c>
      <c r="M18" s="15">
        <f>1484430+575520</f>
        <v>2059950</v>
      </c>
      <c r="N18" s="15"/>
      <c r="O18" s="9">
        <f t="shared" si="0"/>
        <v>508400</v>
      </c>
      <c r="P18" s="15">
        <f t="shared" si="1"/>
        <v>708400</v>
      </c>
    </row>
    <row r="19" spans="1:16">
      <c r="A19" s="10">
        <v>12</v>
      </c>
      <c r="B19" s="13" t="s">
        <v>39</v>
      </c>
      <c r="C19" s="13" t="s">
        <v>7</v>
      </c>
      <c r="D19" s="14">
        <v>407</v>
      </c>
      <c r="E19" s="15">
        <v>7100000</v>
      </c>
      <c r="F19" s="9">
        <f>225000+1065000+2905000</f>
        <v>4195000</v>
      </c>
      <c r="G19" s="9">
        <f>1743000+962000</f>
        <v>2705000</v>
      </c>
      <c r="H19" s="9">
        <f>200000</f>
        <v>200000</v>
      </c>
      <c r="I19" s="9"/>
      <c r="J19" s="9">
        <f>5625+5625+26625+26625+72625+72625+43575+43575+24050+24050+5000+5000</f>
        <v>355000</v>
      </c>
      <c r="K19" s="15">
        <f>5074+82766</f>
        <v>87840</v>
      </c>
      <c r="L19" s="15">
        <f>25000+200000+1065000+290500+1000000+1000000+614500</f>
        <v>4195000</v>
      </c>
      <c r="M19" s="15">
        <f>600000+900000+243000+962000</f>
        <v>2705000</v>
      </c>
      <c r="N19" s="15">
        <f>361000+200000</f>
        <v>561000</v>
      </c>
      <c r="O19" s="9">
        <f t="shared" si="0"/>
        <v>81840</v>
      </c>
      <c r="P19" s="15">
        <f t="shared" si="1"/>
        <v>81840</v>
      </c>
    </row>
    <row r="20" spans="1:16">
      <c r="A20" s="10">
        <v>13</v>
      </c>
      <c r="B20" s="13" t="s">
        <v>40</v>
      </c>
      <c r="C20" s="13" t="s">
        <v>7</v>
      </c>
      <c r="D20" s="14">
        <v>408</v>
      </c>
      <c r="E20" s="15">
        <v>7100000</v>
      </c>
      <c r="F20" s="9">
        <f>225000+1065000+2905000</f>
        <v>4195000</v>
      </c>
      <c r="G20" s="9">
        <f>1743000+962000</f>
        <v>2705000</v>
      </c>
      <c r="H20" s="9">
        <v>200000</v>
      </c>
      <c r="I20" s="9"/>
      <c r="J20" s="9">
        <f>5625+5625+26625+26625+72625+72625+43575+43575+24050+24050+5000+5000</f>
        <v>355000</v>
      </c>
      <c r="K20" s="15">
        <f>433136+5074-43056</f>
        <v>395154</v>
      </c>
      <c r="L20" s="15">
        <f>25000+200000+500000+565000+2905000</f>
        <v>4195000</v>
      </c>
      <c r="M20" s="15">
        <f>100000+1743000+110000+788100</f>
        <v>2741100</v>
      </c>
      <c r="N20" s="15">
        <v>952000</v>
      </c>
      <c r="O20" s="9">
        <f t="shared" si="0"/>
        <v>-37946</v>
      </c>
      <c r="P20" s="15">
        <f t="shared" si="1"/>
        <v>-37946</v>
      </c>
    </row>
    <row r="21" spans="1:16">
      <c r="A21" s="10">
        <v>14</v>
      </c>
      <c r="B21" s="13" t="s">
        <v>41</v>
      </c>
      <c r="C21" s="13" t="s">
        <v>7</v>
      </c>
      <c r="D21" s="14">
        <v>502</v>
      </c>
      <c r="E21" s="15">
        <v>5823500</v>
      </c>
      <c r="F21" s="9">
        <f t="shared" si="2"/>
        <v>3461013</v>
      </c>
      <c r="G21" s="9">
        <f t="shared" si="3"/>
        <v>2162487</v>
      </c>
      <c r="H21" s="9">
        <f>200000</f>
        <v>200000</v>
      </c>
      <c r="I21" s="9"/>
      <c r="J21" s="9">
        <f>5625+5625+21838.13+21838.13+59062.2+59062.2+35437.3+35437.3+18624.88+18624.88+5000+5000+18000+18000+2818.26+2818.26</f>
        <v>332811.54</v>
      </c>
      <c r="K21" s="15">
        <f>-36340+5074+31314+200000</f>
        <v>200048</v>
      </c>
      <c r="L21" s="15">
        <f>25000+200000+400000+473525+100000+100000+2335539</f>
        <v>3634064</v>
      </c>
      <c r="M21" s="15">
        <f>1244441+744995</f>
        <v>1989436</v>
      </c>
      <c r="N21" s="15">
        <f>297175+200000+236000</f>
        <v>733175</v>
      </c>
      <c r="O21" s="9">
        <f t="shared" si="0"/>
        <v>-315.459999999963</v>
      </c>
      <c r="P21" s="15">
        <f t="shared" si="1"/>
        <v>-315.459999999963</v>
      </c>
    </row>
    <row r="22" customHeight="1" spans="1:16">
      <c r="A22" s="10">
        <v>15</v>
      </c>
      <c r="B22" s="13" t="s">
        <v>42</v>
      </c>
      <c r="C22" s="13" t="s">
        <v>7</v>
      </c>
      <c r="D22" s="14">
        <v>503</v>
      </c>
      <c r="E22" s="15">
        <v>5823500</v>
      </c>
      <c r="F22" s="9">
        <f t="shared" si="2"/>
        <v>3461013</v>
      </c>
      <c r="G22" s="9">
        <f t="shared" si="3"/>
        <v>2162487</v>
      </c>
      <c r="H22" s="9">
        <v>200000</v>
      </c>
      <c r="I22" s="9"/>
      <c r="J22" s="9">
        <f>5625+5625+21838.13+21838.13+59062.2+59062.2+35437+35437+18624.88+18624.88+5000+5000</f>
        <v>291174.42</v>
      </c>
      <c r="K22" s="15">
        <f>-10000+5074+1416</f>
        <v>-3510</v>
      </c>
      <c r="L22" s="15">
        <f>225000+200000+300000+300000</f>
        <v>1025000</v>
      </c>
      <c r="M22" s="15">
        <f>2362488+400000+1200000+300000</f>
        <v>4262488</v>
      </c>
      <c r="N22" s="15">
        <f>300000+236122+297000</f>
        <v>833122</v>
      </c>
      <c r="O22" s="9">
        <f t="shared" si="0"/>
        <v>-9445.58000000007</v>
      </c>
      <c r="P22" s="15">
        <f t="shared" si="1"/>
        <v>-9445.58000000007</v>
      </c>
    </row>
    <row r="23" spans="1:16">
      <c r="A23" s="10">
        <v>16</v>
      </c>
      <c r="B23" s="13" t="s">
        <v>43</v>
      </c>
      <c r="C23" s="13" t="s">
        <v>7</v>
      </c>
      <c r="D23" s="14">
        <v>505</v>
      </c>
      <c r="E23" s="15">
        <v>5275000</v>
      </c>
      <c r="F23" s="9">
        <f>225000+441250+2054375</f>
        <v>2720625</v>
      </c>
      <c r="G23" s="9">
        <f>1532625+821750</f>
        <v>2354375</v>
      </c>
      <c r="H23" s="9"/>
      <c r="I23" s="9"/>
      <c r="J23" s="9">
        <f>5625+5625+11031.25+11031.25+51359.38+51359.38+38315.63+38315.63+20543.75+20543.75</f>
        <v>253750.02</v>
      </c>
      <c r="K23" s="15"/>
      <c r="L23" s="15">
        <f>25000+200000+41250+100000+500000+133750</f>
        <v>1000000</v>
      </c>
      <c r="M23" s="15">
        <f>1654000+400000+360000+300000+300000</f>
        <v>3014000</v>
      </c>
      <c r="N23" s="15">
        <f>700000+300000+324750+200000</f>
        <v>1524750</v>
      </c>
      <c r="O23" s="9">
        <f t="shared" si="0"/>
        <v>-209999.98</v>
      </c>
      <c r="P23" s="15">
        <f t="shared" si="1"/>
        <v>-9999.98000000045</v>
      </c>
    </row>
    <row r="24" spans="1:16">
      <c r="A24" s="10">
        <v>17</v>
      </c>
      <c r="B24" s="13" t="s">
        <v>44</v>
      </c>
      <c r="C24" s="13" t="s">
        <v>7</v>
      </c>
      <c r="D24" s="14">
        <v>506</v>
      </c>
      <c r="E24" s="15">
        <v>5842000</v>
      </c>
      <c r="F24" s="9">
        <f>225000+2798390+10000</f>
        <v>3033390</v>
      </c>
      <c r="G24" s="9">
        <f>1685166+923444</f>
        <v>2608610</v>
      </c>
      <c r="H24" s="9"/>
      <c r="I24" s="9"/>
      <c r="J24" s="9">
        <f>5625+5625+250+250+69959.75+69959.75+42129+42129+23086.1+23086.1</f>
        <v>282099.7</v>
      </c>
      <c r="K24" s="15">
        <f>354+5074</f>
        <v>5428</v>
      </c>
      <c r="L24" s="15">
        <f>25000+200000+10000+800000</f>
        <v>1035000</v>
      </c>
      <c r="M24" s="15">
        <f>365000+42000+500000+1700000+800000+923444</f>
        <v>4330444</v>
      </c>
      <c r="N24" s="15">
        <v>768656</v>
      </c>
      <c r="O24" s="9">
        <f t="shared" si="0"/>
        <v>-204572.3</v>
      </c>
      <c r="P24" s="15">
        <f t="shared" si="1"/>
        <v>-4572.29999999981</v>
      </c>
    </row>
    <row r="25" spans="1:16">
      <c r="A25" s="10">
        <v>18</v>
      </c>
      <c r="B25" s="13" t="s">
        <v>45</v>
      </c>
      <c r="C25" s="13" t="s">
        <v>7</v>
      </c>
      <c r="D25" s="14">
        <v>507</v>
      </c>
      <c r="E25" s="15">
        <v>6313200</v>
      </c>
      <c r="F25" s="9">
        <f>225000+11980+3038110</f>
        <v>3275090</v>
      </c>
      <c r="G25" s="9">
        <f>1822866+1015244</f>
        <v>2838110</v>
      </c>
      <c r="H25" s="9">
        <f>200000</f>
        <v>200000</v>
      </c>
      <c r="I25" s="9"/>
      <c r="J25" s="9">
        <f>5625+5625+299.5+299.5+75952.75+75952.75+45571.65+45571.65+25381.1+25381.1+5000+5000+4449.6+4449.6</f>
        <v>324559.2</v>
      </c>
      <c r="K25" s="15">
        <f>-31113.36-31114+479925+5074+49440</f>
        <v>472211.64</v>
      </c>
      <c r="L25" s="15">
        <f>25000+200000+11980+303810+2734300</f>
        <v>3275090</v>
      </c>
      <c r="M25" s="15">
        <f>1791752+600000</f>
        <v>2391752</v>
      </c>
      <c r="N25" s="15">
        <f>1447821</f>
        <v>1447821</v>
      </c>
      <c r="O25" s="9">
        <f t="shared" si="0"/>
        <v>-4692.16000000015</v>
      </c>
      <c r="P25" s="15">
        <f t="shared" si="1"/>
        <v>-4692.16000000015</v>
      </c>
    </row>
    <row r="26" spans="1:16">
      <c r="A26" s="10">
        <v>19</v>
      </c>
      <c r="B26" s="13" t="s">
        <v>46</v>
      </c>
      <c r="C26" s="13" t="s">
        <v>7</v>
      </c>
      <c r="D26" s="14">
        <v>601</v>
      </c>
      <c r="E26" s="15">
        <v>4423500</v>
      </c>
      <c r="F26" s="9">
        <f>225000+663600</f>
        <v>888600</v>
      </c>
      <c r="G26" s="9">
        <f>1767200+1060620+507080</f>
        <v>3334900</v>
      </c>
      <c r="H26" s="9"/>
      <c r="I26" s="9"/>
      <c r="J26" s="9">
        <f>5625+5625+16590+16590+44180+44180+26515.5+26515.5+12677+12677</f>
        <v>211175</v>
      </c>
      <c r="K26" s="15"/>
      <c r="L26" s="15">
        <f>650000</f>
        <v>650000</v>
      </c>
      <c r="M26" s="15">
        <f>250000</f>
        <v>250000</v>
      </c>
      <c r="N26" s="15">
        <v>2219675</v>
      </c>
      <c r="O26" s="9">
        <f t="shared" si="0"/>
        <v>1315000</v>
      </c>
      <c r="P26" s="15">
        <f t="shared" si="1"/>
        <v>1515000</v>
      </c>
    </row>
    <row r="27" spans="1:16">
      <c r="A27" s="10">
        <v>20</v>
      </c>
      <c r="B27" s="13" t="s">
        <v>47</v>
      </c>
      <c r="C27" s="13" t="s">
        <v>7</v>
      </c>
      <c r="D27" s="14">
        <v>602</v>
      </c>
      <c r="E27" s="15">
        <v>6161000</v>
      </c>
      <c r="F27" s="9">
        <f>225000+924150</f>
        <v>1149150</v>
      </c>
      <c r="G27" s="9">
        <f>2505925+1503555+802370</f>
        <v>4811850</v>
      </c>
      <c r="H27" s="9"/>
      <c r="I27" s="9"/>
      <c r="J27" s="9">
        <f>5625+5625+23103.75+23103.75+62648+62648+37588.88+37588.88+20059.25+20059.25</f>
        <v>298049.76</v>
      </c>
      <c r="K27" s="15">
        <v>-150000</v>
      </c>
      <c r="L27" s="15">
        <f>25000+200000+924150</f>
        <v>1149150</v>
      </c>
      <c r="M27" s="15">
        <f>2505925+1578732</f>
        <v>4084657</v>
      </c>
      <c r="N27" s="15"/>
      <c r="O27" s="9">
        <f t="shared" si="0"/>
        <v>875242.76</v>
      </c>
      <c r="P27" s="15">
        <f t="shared" si="1"/>
        <v>1075242.76</v>
      </c>
    </row>
    <row r="28" spans="1:16">
      <c r="A28" s="10">
        <v>21</v>
      </c>
      <c r="B28" s="13" t="s">
        <v>48</v>
      </c>
      <c r="C28" s="13" t="s">
        <v>7</v>
      </c>
      <c r="D28" s="14">
        <v>604</v>
      </c>
      <c r="E28" s="15">
        <v>6575000</v>
      </c>
      <c r="F28" s="9">
        <f>225000+986250</f>
        <v>1211250</v>
      </c>
      <c r="G28" s="9">
        <f>2681875+1609125+872750</f>
        <v>5163750</v>
      </c>
      <c r="H28" s="9"/>
      <c r="I28" s="9"/>
      <c r="J28" s="9">
        <f>5625+5625+24656.25+24656.25+67046.88+67046.88+40228.13+40228.13+21818.75+21818.75</f>
        <v>318750.02</v>
      </c>
      <c r="K28" s="15">
        <f>-39930+5074</f>
        <v>-34856</v>
      </c>
      <c r="L28" s="15">
        <f>25000+200000+986250+100000+2681875</f>
        <v>3993125</v>
      </c>
      <c r="M28" s="15">
        <f>1109125+500000+294125+578625</f>
        <v>2481875</v>
      </c>
      <c r="N28" s="15">
        <f>200000+100000+94820</f>
        <v>394820</v>
      </c>
      <c r="O28" s="9">
        <f t="shared" si="0"/>
        <v>-210925.98</v>
      </c>
      <c r="P28" s="15">
        <f t="shared" si="1"/>
        <v>-10925.98</v>
      </c>
    </row>
    <row r="29" spans="1:16">
      <c r="A29" s="10">
        <v>22</v>
      </c>
      <c r="B29" s="13" t="s">
        <v>49</v>
      </c>
      <c r="C29" s="13" t="s">
        <v>7</v>
      </c>
      <c r="D29" s="14">
        <v>605</v>
      </c>
      <c r="E29" s="15">
        <v>5898000</v>
      </c>
      <c r="F29" s="9">
        <f>225000+884475</f>
        <v>1109475</v>
      </c>
      <c r="G29" s="9">
        <f>2394362+1436418+757745</f>
        <v>4588525</v>
      </c>
      <c r="H29" s="9">
        <v>200000</v>
      </c>
      <c r="I29" s="9"/>
      <c r="J29" s="9">
        <f>5625+5625+22111.88+22111.88+119718+35910.45+35910.45+18943.63+18943.63+5000+5000+4037.4+4037.4</f>
        <v>302974.72</v>
      </c>
      <c r="K29" s="15">
        <f>5428+44860</f>
        <v>50288</v>
      </c>
      <c r="L29" s="15">
        <f>25000+200000+885000</f>
        <v>1110000</v>
      </c>
      <c r="M29" s="15">
        <f>2394363+1436418</f>
        <v>3830781</v>
      </c>
      <c r="N29" s="15">
        <f>400000+331219+526900</f>
        <v>1258119</v>
      </c>
      <c r="O29" s="9">
        <f t="shared" si="0"/>
        <v>52362.7199999997</v>
      </c>
      <c r="P29" s="15">
        <f t="shared" si="1"/>
        <v>52362.7199999997</v>
      </c>
    </row>
    <row r="30" spans="1:16">
      <c r="A30" s="10">
        <v>23</v>
      </c>
      <c r="B30" s="13" t="s">
        <v>50</v>
      </c>
      <c r="C30" s="13" t="s">
        <v>7</v>
      </c>
      <c r="D30" s="14">
        <v>606</v>
      </c>
      <c r="E30" s="15">
        <v>6043200</v>
      </c>
      <c r="F30" s="9">
        <f>225000+156730+2680735</f>
        <v>3062465</v>
      </c>
      <c r="G30" s="9">
        <f>1788441+992294</f>
        <v>2780735</v>
      </c>
      <c r="H30" s="9"/>
      <c r="I30" s="9"/>
      <c r="J30" s="9">
        <f>5625+5625+3918.25+3918.25+67018.38+67018.38+44711.03+44711.03+24807.35+24807.35</f>
        <v>292160.02</v>
      </c>
      <c r="K30" s="15">
        <f>-180000-30625</f>
        <v>-210625</v>
      </c>
      <c r="L30" s="15">
        <f>25000+200000+156730+1788000</f>
        <v>2169730</v>
      </c>
      <c r="M30" s="15">
        <f>700000+800000+180735+500000+500000</f>
        <v>2680735</v>
      </c>
      <c r="N30" s="15">
        <f>600000+392294+302160</f>
        <v>1294454</v>
      </c>
      <c r="O30" s="9">
        <f t="shared" si="0"/>
        <v>-220183.98</v>
      </c>
      <c r="P30" s="15">
        <f t="shared" si="1"/>
        <v>-20183.98</v>
      </c>
    </row>
    <row r="31" spans="1:16">
      <c r="A31" s="10">
        <v>24</v>
      </c>
      <c r="B31" s="13" t="s">
        <v>51</v>
      </c>
      <c r="C31" s="13" t="s">
        <v>7</v>
      </c>
      <c r="D31" s="14">
        <v>701</v>
      </c>
      <c r="E31" s="15">
        <v>5273500</v>
      </c>
      <c r="F31" s="9">
        <f>225000+41025</f>
        <v>266025</v>
      </c>
      <c r="G31" s="9">
        <f>2453738+1532242+821495</f>
        <v>4807475</v>
      </c>
      <c r="H31" s="9"/>
      <c r="I31" s="9"/>
      <c r="J31" s="9">
        <f>5625+5625+1025.63+1025.63+61343.45+61343.45+38306.05+38306.05+20537.38+20537.38</f>
        <v>253675.02</v>
      </c>
      <c r="K31" s="15"/>
      <c r="L31" s="15">
        <f>25000+241025</f>
        <v>266025</v>
      </c>
      <c r="M31" s="15">
        <f>1000000+700000+1050000+248580+210000+600000+390000</f>
        <v>4198580</v>
      </c>
      <c r="N31" s="15">
        <v>700000</v>
      </c>
      <c r="O31" s="9">
        <f t="shared" si="0"/>
        <v>162570.02</v>
      </c>
      <c r="P31" s="15">
        <f t="shared" si="1"/>
        <v>362570.02</v>
      </c>
    </row>
    <row r="32" spans="1:16">
      <c r="A32" s="10">
        <v>25</v>
      </c>
      <c r="B32" s="13" t="s">
        <v>52</v>
      </c>
      <c r="C32" s="13" t="s">
        <v>7</v>
      </c>
      <c r="D32" s="14">
        <v>703</v>
      </c>
      <c r="E32" s="15">
        <v>5973500</v>
      </c>
      <c r="F32" s="9">
        <f>225000+896025</f>
        <v>1121025</v>
      </c>
      <c r="G32" s="9">
        <f>2426238+1455742+770495</f>
        <v>4652475</v>
      </c>
      <c r="H32" s="9"/>
      <c r="I32" s="9"/>
      <c r="J32" s="9">
        <f>5625+5625+22400.63+22400.63+60655.95+60655.95+36393.55+36393.55+19262.38+19262.38</f>
        <v>288675.02</v>
      </c>
      <c r="K32" s="15">
        <v>5428</v>
      </c>
      <c r="L32" s="15">
        <f>25000+200000+896025+242000</f>
        <v>1363025</v>
      </c>
      <c r="M32" s="15">
        <f>3014238+678000</f>
        <v>3692238</v>
      </c>
      <c r="N32" s="15">
        <f>617912+605000</f>
        <v>1222912</v>
      </c>
      <c r="O32" s="9">
        <f t="shared" si="0"/>
        <v>-210571.98</v>
      </c>
      <c r="P32" s="15">
        <f t="shared" si="1"/>
        <v>-10571.9800000004</v>
      </c>
    </row>
    <row r="33" spans="1:16">
      <c r="A33" s="10">
        <v>26</v>
      </c>
      <c r="B33" s="13" t="s">
        <v>53</v>
      </c>
      <c r="C33" s="13" t="s">
        <v>7</v>
      </c>
      <c r="D33" s="14">
        <v>704</v>
      </c>
      <c r="E33" s="15">
        <v>6425000</v>
      </c>
      <c r="F33" s="9">
        <f>225000+963750</f>
        <v>1188750</v>
      </c>
      <c r="G33" s="9">
        <f>2618125+1570875+847250</f>
        <v>5036250</v>
      </c>
      <c r="H33" s="9"/>
      <c r="I33" s="9"/>
      <c r="J33" s="9">
        <f>5625+5625+24093.75+24093.75+65453.13+65453+39271.88+39271.88+21181.25+21181.25</f>
        <v>311249.89</v>
      </c>
      <c r="K33" s="15"/>
      <c r="L33" s="15">
        <f>25000+200000+963750</f>
        <v>1188750</v>
      </c>
      <c r="M33" s="15">
        <f>736250+1000000+1000000+1000000+389000</f>
        <v>4125250</v>
      </c>
      <c r="N33" s="15"/>
      <c r="O33" s="9">
        <f t="shared" si="0"/>
        <v>1222249.89</v>
      </c>
      <c r="P33" s="15">
        <f t="shared" si="1"/>
        <v>1422249.89</v>
      </c>
    </row>
    <row r="34" spans="1:16">
      <c r="A34" s="10">
        <v>27</v>
      </c>
      <c r="B34" s="13" t="s">
        <v>47</v>
      </c>
      <c r="C34" s="13" t="s">
        <v>7</v>
      </c>
      <c r="D34" s="14">
        <v>707</v>
      </c>
      <c r="E34" s="15">
        <v>7323200</v>
      </c>
      <c r="F34" s="9">
        <f>225000+1098480</f>
        <v>1323480</v>
      </c>
      <c r="G34" s="9">
        <f>2999860+1799916+999944</f>
        <v>5799720</v>
      </c>
      <c r="H34" s="9"/>
      <c r="I34" s="9"/>
      <c r="J34" s="9">
        <f>5625+5625+27462+27462+74996.5+74996.5+44997.9+44997.9+24998.6+24998.6</f>
        <v>356160</v>
      </c>
      <c r="K34" s="15">
        <v>-150000</v>
      </c>
      <c r="L34" s="15">
        <f>25000+200000+1098480</f>
        <v>1323480</v>
      </c>
      <c r="M34" s="15">
        <f>2999860+1578732+221184</f>
        <v>4799776</v>
      </c>
      <c r="N34" s="15"/>
      <c r="O34" s="9">
        <f t="shared" si="0"/>
        <v>1206104</v>
      </c>
      <c r="P34" s="15">
        <f t="shared" si="1"/>
        <v>1406104</v>
      </c>
    </row>
    <row r="35" spans="1:16">
      <c r="A35" s="10">
        <v>28</v>
      </c>
      <c r="B35" s="13" t="s">
        <v>54</v>
      </c>
      <c r="C35" s="13" t="s">
        <v>7</v>
      </c>
      <c r="D35" s="14">
        <v>708</v>
      </c>
      <c r="E35" s="15">
        <v>5955000</v>
      </c>
      <c r="F35" s="9">
        <f>225000+58250</f>
        <v>283250</v>
      </c>
      <c r="G35" s="9">
        <f>2785875+1731525+954350</f>
        <v>5471750</v>
      </c>
      <c r="H35" s="9"/>
      <c r="I35" s="9"/>
      <c r="J35" s="9">
        <f>5625+5625+1456.25+1456.25+69646.88+69646.88+43288+43288+23858.75+23858.75</f>
        <v>287749.76</v>
      </c>
      <c r="K35" s="15"/>
      <c r="L35" s="15">
        <f>25000+200000+58250</f>
        <v>283250</v>
      </c>
      <c r="M35" s="15">
        <f>2925168+1818101</f>
        <v>4743269</v>
      </c>
      <c r="N35" s="15">
        <f>458101+41899+726231</f>
        <v>1226231</v>
      </c>
      <c r="O35" s="9">
        <f t="shared" si="0"/>
        <v>-210000.24</v>
      </c>
      <c r="P35" s="15">
        <f t="shared" si="1"/>
        <v>-10000.2400000002</v>
      </c>
    </row>
    <row r="36" spans="1:16">
      <c r="A36" s="10">
        <v>29</v>
      </c>
      <c r="B36" s="13" t="s">
        <v>55</v>
      </c>
      <c r="C36" s="13" t="s">
        <v>7</v>
      </c>
      <c r="D36" s="14">
        <v>802</v>
      </c>
      <c r="E36" s="15">
        <v>6160000</v>
      </c>
      <c r="F36" s="9">
        <f>225000+923150</f>
        <v>1148150</v>
      </c>
      <c r="G36" s="9">
        <f>2505925+1503555</f>
        <v>4009480</v>
      </c>
      <c r="H36" s="9">
        <f>802370+200000</f>
        <v>1002370</v>
      </c>
      <c r="I36" s="9"/>
      <c r="J36" s="9">
        <f>5625+5625+23078.75+23078.75+62648.13+62648.13+37588.88+37588.88+20059+20059+10000</f>
        <v>307999.52</v>
      </c>
      <c r="K36" s="15">
        <f>5074-58514</f>
        <v>-53440</v>
      </c>
      <c r="L36" s="15">
        <f>25000+200000+935000</f>
        <v>1160000</v>
      </c>
      <c r="M36" s="15">
        <f>2676772+1578733</f>
        <v>4255505</v>
      </c>
      <c r="N36" s="15">
        <f>590904+461591</f>
        <v>1052495</v>
      </c>
      <c r="O36" s="9">
        <f t="shared" si="0"/>
        <v>-53440.4800000004</v>
      </c>
      <c r="P36" s="15">
        <f t="shared" si="1"/>
        <v>-53440.4800000004</v>
      </c>
    </row>
    <row r="37" spans="1:16">
      <c r="A37" s="10">
        <v>30</v>
      </c>
      <c r="B37" s="13" t="s">
        <v>56</v>
      </c>
      <c r="C37" s="13" t="s">
        <v>7</v>
      </c>
      <c r="D37" s="14">
        <v>803</v>
      </c>
      <c r="E37" s="15">
        <v>6048500</v>
      </c>
      <c r="F37" s="9">
        <f>225000+907275</f>
        <v>1132275</v>
      </c>
      <c r="G37" s="9">
        <f>2458112+1474868</f>
        <v>3932980</v>
      </c>
      <c r="H37" s="9">
        <v>783245</v>
      </c>
      <c r="I37" s="9"/>
      <c r="J37" s="9">
        <f>5625+5625+22681.88+22681.88+61452.8+61452.8+36871.7+36871.7+19581+19581</f>
        <v>292424.76</v>
      </c>
      <c r="K37" s="15">
        <v>5428</v>
      </c>
      <c r="L37" s="15">
        <f>25000+200000+907275+242000</f>
        <v>1374275</v>
      </c>
      <c r="M37" s="15">
        <f>350000+1100000+558113+500000+900000+282867</f>
        <v>3690980</v>
      </c>
      <c r="N37" s="15">
        <f>819000+472670</f>
        <v>1291670</v>
      </c>
      <c r="O37" s="9">
        <f t="shared" si="0"/>
        <v>-210572.24</v>
      </c>
      <c r="P37" s="15">
        <f t="shared" si="1"/>
        <v>-10572.2400000002</v>
      </c>
    </row>
    <row r="38" spans="1:16">
      <c r="A38" s="10">
        <v>31</v>
      </c>
      <c r="B38" s="13" t="s">
        <v>57</v>
      </c>
      <c r="C38" s="13" t="s">
        <v>7</v>
      </c>
      <c r="D38" s="14">
        <v>805</v>
      </c>
      <c r="E38" s="15">
        <v>6650000</v>
      </c>
      <c r="F38" s="9">
        <f>225000+997500</f>
        <v>1222500</v>
      </c>
      <c r="G38" s="9">
        <f>2713750+1628250</f>
        <v>4342000</v>
      </c>
      <c r="H38" s="9">
        <v>885500</v>
      </c>
      <c r="I38" s="9"/>
      <c r="J38" s="9">
        <f>5625+5625+24937.5+24937.5+67843.75+67843.75+40706+40706+22135.5+22135.5+5</f>
        <v>322500.5</v>
      </c>
      <c r="K38" s="15"/>
      <c r="L38" s="15">
        <f>25000+200000+997500</f>
        <v>1222500</v>
      </c>
      <c r="M38" s="15">
        <f>2713750+1628250</f>
        <v>4342000</v>
      </c>
      <c r="N38" s="15">
        <f>147500+738000+463500</f>
        <v>1349000</v>
      </c>
      <c r="O38" s="9">
        <f t="shared" si="0"/>
        <v>-140999.5</v>
      </c>
      <c r="P38" s="15">
        <f t="shared" si="1"/>
        <v>59000.5</v>
      </c>
    </row>
    <row r="39" spans="1:16">
      <c r="A39" s="10">
        <v>32</v>
      </c>
      <c r="B39" s="13" t="s">
        <v>58</v>
      </c>
      <c r="C39" s="13" t="s">
        <v>7</v>
      </c>
      <c r="D39" s="14">
        <v>806</v>
      </c>
      <c r="E39" s="15">
        <v>6000000</v>
      </c>
      <c r="F39" s="9">
        <f>225000+22000</f>
        <v>247000</v>
      </c>
      <c r="G39" s="9">
        <f>2730000+1694000</f>
        <v>4424000</v>
      </c>
      <c r="H39" s="9">
        <v>1129000</v>
      </c>
      <c r="I39" s="9"/>
      <c r="J39" s="9">
        <f>5625+5625+550+550+68250+68250+42350+42350+28225+28225</f>
        <v>290000</v>
      </c>
      <c r="K39" s="15"/>
      <c r="L39" s="15">
        <f>25000+200000+22000</f>
        <v>247000</v>
      </c>
      <c r="M39" s="15">
        <f>1230000+1500000</f>
        <v>2730000</v>
      </c>
      <c r="N39" s="15">
        <f>494000+1100000+829000</f>
        <v>2423000</v>
      </c>
      <c r="O39" s="9">
        <f t="shared" si="0"/>
        <v>690000</v>
      </c>
      <c r="P39" s="15">
        <f t="shared" si="1"/>
        <v>890000</v>
      </c>
    </row>
    <row r="40" spans="1:16">
      <c r="A40" s="10">
        <v>33</v>
      </c>
      <c r="B40" s="13" t="s">
        <v>59</v>
      </c>
      <c r="C40" s="13" t="s">
        <v>7</v>
      </c>
      <c r="D40" s="14">
        <v>807</v>
      </c>
      <c r="E40" s="15">
        <v>7955000</v>
      </c>
      <c r="F40" s="9">
        <f>225000+1193250</f>
        <v>1418250</v>
      </c>
      <c r="G40" s="9">
        <f>3268375+1961025</f>
        <v>5229400</v>
      </c>
      <c r="H40" s="9">
        <f>1107350+200000</f>
        <v>1307350</v>
      </c>
      <c r="I40" s="9"/>
      <c r="J40" s="9">
        <f>5625+5625+29831.25+29831.25+81709.38+81709.38+49025+49025+27683.75+27683.75+5000+5000+6806.7+6806.7</f>
        <v>411362.16</v>
      </c>
      <c r="K40" s="15">
        <f>5074+75630-90000</f>
        <v>-9296</v>
      </c>
      <c r="L40" s="15">
        <f>25000+200000+1193250</f>
        <v>1418250</v>
      </c>
      <c r="M40" s="15">
        <f>3431794+2059076</f>
        <v>5490870</v>
      </c>
      <c r="N40" s="15">
        <f>1443630</f>
        <v>1443630</v>
      </c>
      <c r="O40" s="9">
        <f t="shared" si="0"/>
        <v>4316.16000000015</v>
      </c>
      <c r="P40" s="15">
        <f t="shared" si="1"/>
        <v>4316.16000000015</v>
      </c>
    </row>
    <row r="41" s="1" customFormat="1" spans="1:17">
      <c r="A41" s="10">
        <v>34</v>
      </c>
      <c r="B41" s="13" t="s">
        <v>60</v>
      </c>
      <c r="C41" s="13" t="s">
        <v>7</v>
      </c>
      <c r="D41" s="14">
        <v>901</v>
      </c>
      <c r="E41" s="15">
        <v>6200000</v>
      </c>
      <c r="F41" s="9"/>
      <c r="G41" s="9">
        <f>984100+2183400+1819500</f>
        <v>4987000</v>
      </c>
      <c r="H41" s="9">
        <f>1013000+200000</f>
        <v>1213000</v>
      </c>
      <c r="I41" s="9"/>
      <c r="J41" s="9">
        <f>24602.5+24602.5+54585+54585+45487.5+45487.5+25325+25325+5000+5000+2786.4+2786.4</f>
        <v>315572.8</v>
      </c>
      <c r="K41" s="15">
        <f>5428-75000+30960</f>
        <v>-38612</v>
      </c>
      <c r="L41" s="15">
        <v>0</v>
      </c>
      <c r="M41" s="15">
        <f>25000+210000+11750+531825+1000000+579800+967000+1910475</f>
        <v>5235850</v>
      </c>
      <c r="N41" s="15">
        <f>500000+6000+151625+622525</f>
        <v>1280150</v>
      </c>
      <c r="O41" s="9">
        <f t="shared" si="0"/>
        <v>-39039.2000000002</v>
      </c>
      <c r="P41" s="15">
        <f t="shared" si="1"/>
        <v>-39039.2000000002</v>
      </c>
      <c r="Q41" s="25"/>
    </row>
    <row r="42" s="1" customFormat="1" spans="1:17">
      <c r="A42" s="10">
        <v>35</v>
      </c>
      <c r="B42" s="13" t="s">
        <v>61</v>
      </c>
      <c r="C42" s="13" t="s">
        <v>7</v>
      </c>
      <c r="D42" s="14">
        <v>902</v>
      </c>
      <c r="E42" s="15">
        <v>5973500</v>
      </c>
      <c r="F42" s="9">
        <f>225000+896025</f>
        <v>1121025</v>
      </c>
      <c r="G42" s="9">
        <f>2426238+1455742</f>
        <v>3881980</v>
      </c>
      <c r="H42" s="9">
        <v>770495</v>
      </c>
      <c r="I42" s="9"/>
      <c r="J42" s="9">
        <f>5625+5625+22400.63+22400.63+60655.95+60655.95+36393.55+36393.55+19262.38+19262.38</f>
        <v>288675.02</v>
      </c>
      <c r="K42" s="15">
        <v>5428</v>
      </c>
      <c r="L42" s="15">
        <f>25000+200000+896025</f>
        <v>1121025</v>
      </c>
      <c r="M42" s="15">
        <f>2574194+1517065</f>
        <v>4091259</v>
      </c>
      <c r="N42" s="15">
        <f>800930+216986</f>
        <v>1017916</v>
      </c>
      <c r="O42" s="9">
        <f t="shared" si="0"/>
        <v>-162596.98</v>
      </c>
      <c r="P42" s="15">
        <f t="shared" si="1"/>
        <v>37403.0199999996</v>
      </c>
      <c r="Q42" s="25"/>
    </row>
    <row r="43" s="1" customFormat="1" spans="1:17">
      <c r="A43" s="10">
        <v>36</v>
      </c>
      <c r="B43" s="13" t="s">
        <v>62</v>
      </c>
      <c r="C43" s="13" t="s">
        <v>7</v>
      </c>
      <c r="D43" s="14">
        <v>904</v>
      </c>
      <c r="E43" s="15">
        <v>6800000</v>
      </c>
      <c r="F43" s="9">
        <f>225000+1020000</f>
        <v>1245000</v>
      </c>
      <c r="G43" s="9">
        <f>2777500+1666500</f>
        <v>4444000</v>
      </c>
      <c r="H43" s="9">
        <f>911000+200000</f>
        <v>1111000</v>
      </c>
      <c r="I43" s="9"/>
      <c r="J43" s="9">
        <f>5625+5625+25500+25500+69437.5+69437.5+41662.5+41662.5+22775+22775+9000+9000+5000+5000+6901.2+6901.2</f>
        <v>371802.4</v>
      </c>
      <c r="K43" s="15">
        <f>100000+76680+5074-75000+685444</f>
        <v>792198</v>
      </c>
      <c r="L43" s="15">
        <f>25000+200000+1020000</f>
        <v>1245000</v>
      </c>
      <c r="M43" s="15">
        <v>4444000</v>
      </c>
      <c r="N43" s="15">
        <f>1575000+700000</f>
        <v>2275000</v>
      </c>
      <c r="O43" s="9">
        <f t="shared" si="0"/>
        <v>0.400000000372529</v>
      </c>
      <c r="P43" s="15">
        <f t="shared" si="1"/>
        <v>0.400000000372529</v>
      </c>
      <c r="Q43" s="25"/>
    </row>
    <row r="44" s="1" customFormat="1" spans="1:17">
      <c r="A44" s="10">
        <v>37</v>
      </c>
      <c r="B44" s="13" t="s">
        <v>63</v>
      </c>
      <c r="C44" s="13" t="s">
        <v>7</v>
      </c>
      <c r="D44" s="14">
        <v>905</v>
      </c>
      <c r="E44" s="15">
        <v>7923500</v>
      </c>
      <c r="F44" s="9">
        <f t="shared" ref="F44:G44" si="4">0</f>
        <v>0</v>
      </c>
      <c r="G44" s="9">
        <f t="shared" si="4"/>
        <v>0</v>
      </c>
      <c r="H44" s="9">
        <f>6621505+1101995</f>
        <v>7723500</v>
      </c>
      <c r="I44" s="9"/>
      <c r="J44" s="9">
        <f>165537.63+165537.63+27549.88+27549.88</f>
        <v>386175.02</v>
      </c>
      <c r="K44" s="15">
        <f t="shared" ref="K44:M44" si="5">0</f>
        <v>0</v>
      </c>
      <c r="L44" s="15">
        <f t="shared" si="5"/>
        <v>0</v>
      </c>
      <c r="M44" s="15">
        <f t="shared" si="5"/>
        <v>0</v>
      </c>
      <c r="N44" s="15">
        <f>236250+1931499+2734189+2050641+1157094</f>
        <v>8109673</v>
      </c>
      <c r="O44" s="9">
        <f t="shared" si="0"/>
        <v>2.01999999955297</v>
      </c>
      <c r="P44" s="15">
        <f t="shared" si="1"/>
        <v>200002.02</v>
      </c>
      <c r="Q44" s="26"/>
    </row>
    <row r="45" s="1" customFormat="1" spans="1:17">
      <c r="A45" s="10">
        <v>38</v>
      </c>
      <c r="B45" s="13" t="s">
        <v>64</v>
      </c>
      <c r="C45" s="13" t="s">
        <v>7</v>
      </c>
      <c r="D45" s="14">
        <v>906</v>
      </c>
      <c r="E45" s="15">
        <v>7458200</v>
      </c>
      <c r="F45" s="9">
        <f>225000+1118730</f>
        <v>1343730</v>
      </c>
      <c r="G45" s="9">
        <f>3057235+1834341</f>
        <v>4891576</v>
      </c>
      <c r="H45" s="9">
        <v>1022894</v>
      </c>
      <c r="I45" s="9"/>
      <c r="J45" s="9">
        <f>5625+5625+27968.25+27968.25+76430.88+76430.88+45858.53+45858.53+25572.35+25572.35+9000+9000</f>
        <v>380910.02</v>
      </c>
      <c r="K45" s="15">
        <v>100000</v>
      </c>
      <c r="L45" s="15">
        <f>25000+200000+618730+500000</f>
        <v>1343730</v>
      </c>
      <c r="M45" s="15">
        <f>950000+950000+207235+950000+900000+934341</f>
        <v>4891576</v>
      </c>
      <c r="N45" s="15">
        <f>883530+200000+491274</f>
        <v>1574804</v>
      </c>
      <c r="O45" s="9">
        <f t="shared" si="0"/>
        <v>-70999.9800000004</v>
      </c>
      <c r="P45" s="15">
        <f t="shared" si="1"/>
        <v>129000.02</v>
      </c>
      <c r="Q45" s="25"/>
    </row>
    <row r="46" spans="1:16">
      <c r="A46" s="10">
        <v>39</v>
      </c>
      <c r="B46" s="13" t="s">
        <v>65</v>
      </c>
      <c r="C46" s="13" t="s">
        <v>7</v>
      </c>
      <c r="D46" s="14">
        <v>908</v>
      </c>
      <c r="E46" s="15">
        <v>7683200</v>
      </c>
      <c r="F46" s="9">
        <f>225000+1152480</f>
        <v>1377480</v>
      </c>
      <c r="G46" s="9">
        <f>3152860+1891716</f>
        <v>5044576</v>
      </c>
      <c r="H46" s="9">
        <v>1061144</v>
      </c>
      <c r="I46" s="9"/>
      <c r="J46" s="9">
        <f>5625+5625+28812+28812+78821.5+78821.5+47292.9+47292.9+26528.6+26528.6</f>
        <v>374160</v>
      </c>
      <c r="K46" s="15"/>
      <c r="L46" s="15">
        <f>25000+1000+199000+200000+200000+752480+300000+100000+152860</f>
        <v>1930340</v>
      </c>
      <c r="M46" s="15">
        <f>1000000+300000+200000+500000+200000+100000+50000+500000+200000</f>
        <v>3050000</v>
      </c>
      <c r="N46" s="15">
        <f>300000+300818+500000+400000+262000+400000+200000+300000</f>
        <v>2662818</v>
      </c>
      <c r="O46" s="9">
        <f t="shared" si="0"/>
        <v>214202</v>
      </c>
      <c r="P46" s="15">
        <f t="shared" si="1"/>
        <v>414202</v>
      </c>
    </row>
    <row r="47" spans="1:16">
      <c r="A47" s="10">
        <v>40</v>
      </c>
      <c r="B47" s="13" t="s">
        <v>66</v>
      </c>
      <c r="C47" s="13" t="s">
        <v>7</v>
      </c>
      <c r="D47" s="14">
        <v>1001</v>
      </c>
      <c r="E47" s="15">
        <v>5725000</v>
      </c>
      <c r="F47" s="9">
        <f>225000+8750</f>
        <v>233750</v>
      </c>
      <c r="G47" s="9">
        <f>2745625+1647375</f>
        <v>4393000</v>
      </c>
      <c r="H47" s="9">
        <v>898250</v>
      </c>
      <c r="I47" s="9"/>
      <c r="J47" s="9">
        <f>5625+5625+218.75+218.75+68640.63+68640.63+41184.38+41184.38+22456.25+22456.25</f>
        <v>276250.02</v>
      </c>
      <c r="K47" s="15"/>
      <c r="L47" s="15">
        <f>25000+150000+50000+8750</f>
        <v>233750</v>
      </c>
      <c r="M47" s="15">
        <f>545000+500000+525000+150000+110000+920000+400000+447375+400000+400000</f>
        <v>4397375</v>
      </c>
      <c r="N47" s="15">
        <v>1311125</v>
      </c>
      <c r="O47" s="9">
        <f t="shared" si="0"/>
        <v>-140999.98</v>
      </c>
      <c r="P47" s="15">
        <f t="shared" si="1"/>
        <v>59000.0199999996</v>
      </c>
    </row>
    <row r="48" spans="1:16">
      <c r="A48" s="10">
        <v>41</v>
      </c>
      <c r="B48" s="13" t="s">
        <v>67</v>
      </c>
      <c r="C48" s="13" t="s">
        <v>7</v>
      </c>
      <c r="D48" s="14">
        <v>1003</v>
      </c>
      <c r="E48" s="15">
        <v>6785000</v>
      </c>
      <c r="F48" s="9">
        <f>1796975</f>
        <v>1796975</v>
      </c>
      <c r="G48" s="9">
        <f>2216900+1662675</f>
        <v>3879575</v>
      </c>
      <c r="H48" s="9">
        <v>908450</v>
      </c>
      <c r="I48" s="9"/>
      <c r="J48" s="9">
        <f>44924.38+44924.38+55422.5+55422.5+41566.88+41566.88+22711.25+22711.25</f>
        <v>329250.02</v>
      </c>
      <c r="K48" s="15">
        <f>-33925+5074</f>
        <v>-28851</v>
      </c>
      <c r="L48" s="15">
        <f>225000+1017750+500000+54225</f>
        <v>1796975</v>
      </c>
      <c r="M48" s="15">
        <f>1050000+350000</f>
        <v>1400000</v>
      </c>
      <c r="N48" s="15">
        <f>2606250+390425+868750</f>
        <v>3865425</v>
      </c>
      <c r="O48" s="9">
        <f t="shared" si="0"/>
        <v>-177000.98</v>
      </c>
      <c r="P48" s="15">
        <f t="shared" si="1"/>
        <v>22999.0199999996</v>
      </c>
    </row>
    <row r="49" spans="1:16">
      <c r="A49" s="10">
        <v>42</v>
      </c>
      <c r="B49" s="13" t="s">
        <v>68</v>
      </c>
      <c r="C49" s="13" t="s">
        <v>7</v>
      </c>
      <c r="D49" s="14">
        <v>1004</v>
      </c>
      <c r="E49" s="15">
        <v>5950000</v>
      </c>
      <c r="F49" s="9">
        <v>682750</v>
      </c>
      <c r="G49" s="9">
        <f>2341000+1755750</f>
        <v>4096750</v>
      </c>
      <c r="H49" s="9">
        <v>970500</v>
      </c>
      <c r="I49" s="9"/>
      <c r="J49" s="9">
        <f>17068.75+17068.75+58525+58525+43893.75+43893.75+24262.5+24262.5</f>
        <v>287500</v>
      </c>
      <c r="K49" s="15"/>
      <c r="L49" s="15">
        <f>236250+480638</f>
        <v>716888</v>
      </c>
      <c r="M49" s="15">
        <f>2458050+1755750</f>
        <v>4213800</v>
      </c>
      <c r="N49" s="15"/>
      <c r="O49" s="9">
        <f t="shared" si="0"/>
        <v>1106812</v>
      </c>
      <c r="P49" s="15">
        <f t="shared" si="1"/>
        <v>1306812</v>
      </c>
    </row>
    <row r="50" spans="1:16">
      <c r="A50" s="10">
        <v>43</v>
      </c>
      <c r="B50" s="13" t="s">
        <v>69</v>
      </c>
      <c r="C50" s="13" t="s">
        <v>7</v>
      </c>
      <c r="D50" s="14">
        <v>1007</v>
      </c>
      <c r="E50" s="15">
        <v>8630000</v>
      </c>
      <c r="F50" s="9"/>
      <c r="G50" s="9">
        <f>2230550+2844200+2133150</f>
        <v>7207900</v>
      </c>
      <c r="H50" s="9">
        <v>1222100</v>
      </c>
      <c r="I50" s="9"/>
      <c r="J50" s="9">
        <f>55763.75+55763.75+71105+71105+53328.75+53328.75+30552.5+30552.5</f>
        <v>421500</v>
      </c>
      <c r="K50" s="15">
        <v>5428</v>
      </c>
      <c r="L50" s="15">
        <v>0</v>
      </c>
      <c r="M50" s="15">
        <f>25000+200000+1100000+270475+3733013+1320000</f>
        <v>6648488</v>
      </c>
      <c r="N50" s="15">
        <f>813150+1633000</f>
        <v>2446150</v>
      </c>
      <c r="O50" s="9">
        <f t="shared" si="0"/>
        <v>-237710</v>
      </c>
      <c r="P50" s="15">
        <f t="shared" si="1"/>
        <v>-37710</v>
      </c>
    </row>
    <row r="51" spans="1:16">
      <c r="A51" s="10">
        <v>44</v>
      </c>
      <c r="B51" s="13" t="s">
        <v>70</v>
      </c>
      <c r="C51" s="13" t="s">
        <v>7</v>
      </c>
      <c r="D51" s="14">
        <v>1008</v>
      </c>
      <c r="E51" s="15">
        <v>7813200</v>
      </c>
      <c r="F51" s="9">
        <v>0</v>
      </c>
      <c r="G51" s="9">
        <f>5410090+881866</f>
        <v>6291956</v>
      </c>
      <c r="H51" s="9">
        <v>1321244</v>
      </c>
      <c r="I51" s="9"/>
      <c r="J51" s="9">
        <f>135252.25+135252.25+22046.65+22046.65+33031.1+33031.1</f>
        <v>380660</v>
      </c>
      <c r="K51" s="15"/>
      <c r="L51" s="15">
        <v>0</v>
      </c>
      <c r="M51" s="15">
        <f>25000+200000+81980+500000+160622+232488+60000+440000+200000+79378+160622+450000+50000+50000+100000+170000+200000+105000+50000+475000+225000</f>
        <v>4015090</v>
      </c>
      <c r="N51" s="15">
        <v>2281000</v>
      </c>
      <c r="O51" s="9">
        <f t="shared" si="0"/>
        <v>1697770</v>
      </c>
      <c r="P51" s="15">
        <f t="shared" si="1"/>
        <v>1897770</v>
      </c>
    </row>
    <row r="52" ht="15.75" spans="1:16">
      <c r="A52" s="10"/>
      <c r="B52" s="16" t="s">
        <v>71</v>
      </c>
      <c r="C52" s="17"/>
      <c r="D52" s="18"/>
      <c r="E52" s="19">
        <f t="shared" ref="E52:G52" si="6">SUM(E8:E51)</f>
        <v>278953200</v>
      </c>
      <c r="F52" s="19">
        <f t="shared" si="6"/>
        <v>94660217</v>
      </c>
      <c r="G52" s="19">
        <f t="shared" si="6"/>
        <v>150993887</v>
      </c>
      <c r="H52" s="19"/>
      <c r="I52" s="19">
        <f t="shared" ref="I52:P52" si="7">SUM(I8:I51)</f>
        <v>0</v>
      </c>
      <c r="J52" s="19">
        <f t="shared" si="7"/>
        <v>13785257.95</v>
      </c>
      <c r="K52" s="19">
        <f t="shared" si="7"/>
        <v>2516538.84</v>
      </c>
      <c r="L52" s="19">
        <f t="shared" si="7"/>
        <v>85891677</v>
      </c>
      <c r="M52" s="19">
        <f t="shared" si="7"/>
        <v>135940590</v>
      </c>
      <c r="N52" s="19">
        <f t="shared" si="7"/>
        <v>60237055</v>
      </c>
      <c r="O52" s="19">
        <f t="shared" si="7"/>
        <v>7385673.78999999</v>
      </c>
      <c r="P52" s="19">
        <f t="shared" si="7"/>
        <v>13185673.79</v>
      </c>
    </row>
    <row r="53" s="1" customFormat="1" ht="15.75" spans="1:17">
      <c r="A53" s="10">
        <v>45</v>
      </c>
      <c r="B53" s="20" t="s">
        <v>72</v>
      </c>
      <c r="C53" s="13" t="s">
        <v>73</v>
      </c>
      <c r="D53" s="21">
        <v>105</v>
      </c>
      <c r="E53" s="15">
        <v>8190000</v>
      </c>
      <c r="F53" s="9">
        <f>2127150+2694600+2020950</f>
        <v>6842700</v>
      </c>
      <c r="G53" s="9">
        <v>1147300</v>
      </c>
      <c r="H53" s="9"/>
      <c r="I53" s="9"/>
      <c r="J53" s="9">
        <f>53178.75+53178.75+67365+67365+50523.75+50523.75+28682.5+28682.5</f>
        <v>399500</v>
      </c>
      <c r="K53" s="15">
        <v>5428</v>
      </c>
      <c r="L53" s="15">
        <f>26250+210000+100000+200000+600000+3248200+2020950</f>
        <v>6405400</v>
      </c>
      <c r="M53" s="15">
        <f>760850</f>
        <v>760850</v>
      </c>
      <c r="N53" s="15">
        <f>500000+263250</f>
        <v>763250</v>
      </c>
      <c r="O53" s="9">
        <f>F53+G53+H53+I53+J53+K53-L53-M53-N53</f>
        <v>465428</v>
      </c>
      <c r="P53" s="15">
        <f>E53+K53-L53+J53+I53-M53-N53</f>
        <v>665428</v>
      </c>
      <c r="Q53" s="25"/>
    </row>
    <row r="54" s="1" customFormat="1" spans="1:17">
      <c r="A54" s="10">
        <v>46</v>
      </c>
      <c r="B54" s="20" t="s">
        <v>74</v>
      </c>
      <c r="C54" s="13" t="s">
        <v>73</v>
      </c>
      <c r="D54" s="21">
        <v>301</v>
      </c>
      <c r="E54" s="15">
        <v>6500000</v>
      </c>
      <c r="F54" s="9">
        <f>225000+1505000+2120000+1590000</f>
        <v>5440000</v>
      </c>
      <c r="G54" s="9">
        <f>860000</f>
        <v>860000</v>
      </c>
      <c r="H54" s="9">
        <f>200000</f>
        <v>200000</v>
      </c>
      <c r="I54" s="9"/>
      <c r="J54" s="9">
        <f>5625+5625+37625+37625+53000+53000+39750+39750+21500+21500+5000+5000</f>
        <v>325000</v>
      </c>
      <c r="K54" s="15">
        <f>-40800-10600+494011+5074+44604.2</f>
        <v>492289.2</v>
      </c>
      <c r="L54" s="15">
        <f>225000+475000+350000+150000+550000+2100000</f>
        <v>3850000</v>
      </c>
      <c r="M54" s="15">
        <f>1590000+800000</f>
        <v>2390000</v>
      </c>
      <c r="N54" s="15">
        <f>273600+760000</f>
        <v>1033600</v>
      </c>
      <c r="O54" s="9">
        <f>F54+G54+H54+I54+J54+K54-L54-M54-N54</f>
        <v>43689.2000000002</v>
      </c>
      <c r="P54" s="15">
        <f t="shared" ref="P54:P68" si="8">E54+K54-L54+J54+I54-M54-N54</f>
        <v>43689.2000000002</v>
      </c>
      <c r="Q54" s="25"/>
    </row>
    <row r="55" s="1" customFormat="1" spans="1:17">
      <c r="A55" s="10">
        <v>47</v>
      </c>
      <c r="B55" s="20" t="s">
        <v>75</v>
      </c>
      <c r="C55" s="13" t="s">
        <v>73</v>
      </c>
      <c r="D55" s="21">
        <v>302</v>
      </c>
      <c r="E55" s="15">
        <v>9825000</v>
      </c>
      <c r="F55" s="9">
        <v>2511375</v>
      </c>
      <c r="G55" s="9">
        <f>2437875</f>
        <v>2437875</v>
      </c>
      <c r="H55" s="9">
        <v>1425250</v>
      </c>
      <c r="I55" s="9"/>
      <c r="J55" s="9">
        <f>62784.38+62784.38+60946.88+60946.88+35631.25+35631.25</f>
        <v>318725.02</v>
      </c>
      <c r="K55" s="15"/>
      <c r="L55" s="15">
        <f>26250+210000+1000000+1400000</f>
        <v>2636250</v>
      </c>
      <c r="M55" s="15">
        <f>3413025+2437875</f>
        <v>5850900</v>
      </c>
      <c r="N55" s="15"/>
      <c r="O55" s="9">
        <f t="shared" ref="O55:O68" si="9">F55+G55+H55+I55+J55+K55-L55-M55-N55</f>
        <v>-1793924.98</v>
      </c>
      <c r="P55" s="15">
        <f t="shared" si="8"/>
        <v>1656575.02</v>
      </c>
      <c r="Q55" s="25"/>
    </row>
    <row r="56" s="1" customFormat="1" spans="1:17">
      <c r="A56" s="10">
        <v>48</v>
      </c>
      <c r="B56" s="20" t="s">
        <v>76</v>
      </c>
      <c r="C56" s="13" t="s">
        <v>73</v>
      </c>
      <c r="D56" s="21">
        <v>304</v>
      </c>
      <c r="E56" s="15">
        <v>8315000</v>
      </c>
      <c r="F56" s="9"/>
      <c r="G56" s="9">
        <f>2156525+2737100+2052825</f>
        <v>6946450</v>
      </c>
      <c r="H56" s="9">
        <v>1168550</v>
      </c>
      <c r="I56" s="9"/>
      <c r="J56" s="9">
        <f>53913.13+53913.13+68427.5+68427.5+51320+51320+29213.75+29213.75</f>
        <v>405748.76</v>
      </c>
      <c r="K56" s="15"/>
      <c r="L56" s="15"/>
      <c r="M56" s="15">
        <f>25000+200000+200000+200000+200000+600000+800000+200000+200000</f>
        <v>2625000</v>
      </c>
      <c r="N56" s="15">
        <f>2300000+225000</f>
        <v>2525000</v>
      </c>
      <c r="O56" s="9">
        <f t="shared" si="9"/>
        <v>3370748.76</v>
      </c>
      <c r="P56" s="15">
        <f t="shared" si="8"/>
        <v>3570748.76</v>
      </c>
      <c r="Q56" s="25"/>
    </row>
    <row r="57" s="1" customFormat="1" spans="1:17">
      <c r="A57" s="10">
        <v>49</v>
      </c>
      <c r="B57" s="20" t="s">
        <v>77</v>
      </c>
      <c r="C57" s="13" t="s">
        <v>73</v>
      </c>
      <c r="D57" s="21">
        <v>305</v>
      </c>
      <c r="E57" s="15">
        <v>6825000</v>
      </c>
      <c r="F57" s="9">
        <f>888375+2638500+1978875</f>
        <v>5505750</v>
      </c>
      <c r="G57" s="9">
        <f>3250500+1119250</f>
        <v>4369750</v>
      </c>
      <c r="H57" s="9"/>
      <c r="I57" s="9"/>
      <c r="J57" s="9">
        <f>22209.38+22209.38+65962.5+65962.5+49471.88+49471.88+81262.5+81262.5+27981+27981</f>
        <v>493774.52</v>
      </c>
      <c r="K57" s="15"/>
      <c r="L57" s="15">
        <v>3528125</v>
      </c>
      <c r="M57" s="15">
        <f>1640941+500000</f>
        <v>2140941</v>
      </c>
      <c r="N57" s="15">
        <f>500000+2020520+70184+2749+583000</f>
        <v>3176453</v>
      </c>
      <c r="O57" s="9">
        <f t="shared" si="9"/>
        <v>1523755.52</v>
      </c>
      <c r="P57" s="15">
        <f t="shared" si="8"/>
        <v>-1526744.48</v>
      </c>
      <c r="Q57" s="25"/>
    </row>
    <row r="58" s="1" customFormat="1" spans="1:17">
      <c r="A58" s="10">
        <v>50</v>
      </c>
      <c r="B58" s="20" t="s">
        <v>78</v>
      </c>
      <c r="C58" s="13" t="s">
        <v>73</v>
      </c>
      <c r="D58" s="21">
        <v>403</v>
      </c>
      <c r="E58" s="15">
        <v>8853200</v>
      </c>
      <c r="F58" s="9"/>
      <c r="G58" s="9">
        <f>5203090+2190066</f>
        <v>7393156</v>
      </c>
      <c r="H58" s="9">
        <v>1260044</v>
      </c>
      <c r="I58" s="9"/>
      <c r="J58" s="9">
        <f>130077.25+130077.25+54751.65+54751.65+31501.1+31501.1</f>
        <v>432660</v>
      </c>
      <c r="K58" s="15"/>
      <c r="L58" s="15"/>
      <c r="M58" s="15">
        <f>236250+1394379</f>
        <v>1630629</v>
      </c>
      <c r="N58" s="15">
        <f>4420024</f>
        <v>4420024</v>
      </c>
      <c r="O58" s="9">
        <f t="shared" si="9"/>
        <v>3035207</v>
      </c>
      <c r="P58" s="15">
        <f t="shared" si="8"/>
        <v>3235207</v>
      </c>
      <c r="Q58" s="25"/>
    </row>
    <row r="59" s="1" customFormat="1" spans="1:17">
      <c r="A59" s="10">
        <v>51</v>
      </c>
      <c r="B59" s="20" t="s">
        <v>79</v>
      </c>
      <c r="C59" s="13" t="s">
        <v>73</v>
      </c>
      <c r="D59" s="21">
        <v>404</v>
      </c>
      <c r="E59" s="15">
        <v>8585000</v>
      </c>
      <c r="F59" s="9"/>
      <c r="G59" s="9">
        <f>5048875+2121675</f>
        <v>7170550</v>
      </c>
      <c r="H59" s="9">
        <v>1214450</v>
      </c>
      <c r="I59" s="9"/>
      <c r="J59" s="9">
        <f>126221.88+126221.88+53041.88+53041.88+9000+9000+30361.25+30361.25</f>
        <v>437250.02</v>
      </c>
      <c r="K59" s="15">
        <v>100000</v>
      </c>
      <c r="L59" s="15"/>
      <c r="M59" s="15">
        <v>7529077</v>
      </c>
      <c r="N59" s="15">
        <f>118000</f>
        <v>118000</v>
      </c>
      <c r="O59" s="9">
        <f t="shared" si="9"/>
        <v>1275173.02</v>
      </c>
      <c r="P59" s="15">
        <f t="shared" si="8"/>
        <v>1475173.02</v>
      </c>
      <c r="Q59" s="25"/>
    </row>
    <row r="60" s="1" customFormat="1" spans="1:17">
      <c r="A60" s="10">
        <v>52</v>
      </c>
      <c r="B60" s="20" t="s">
        <v>80</v>
      </c>
      <c r="C60" s="13" t="s">
        <v>73</v>
      </c>
      <c r="D60" s="21">
        <v>405</v>
      </c>
      <c r="E60" s="15">
        <v>6825000</v>
      </c>
      <c r="F60" s="9">
        <f>888375+2638500</f>
        <v>3526875</v>
      </c>
      <c r="G60" s="9">
        <f>1978875+1119250</f>
        <v>3098125</v>
      </c>
      <c r="H60" s="9"/>
      <c r="I60" s="9"/>
      <c r="J60" s="9">
        <f>22209.38+22209.38+65962.5+65962.5+49471.88+49471.88+27981+27981</f>
        <v>331249.52</v>
      </c>
      <c r="K60" s="15"/>
      <c r="L60" s="15">
        <f>26250+200000+3750+659625+2638500</f>
        <v>3528125</v>
      </c>
      <c r="M60" s="15">
        <f>1978875+1175212</f>
        <v>3154087</v>
      </c>
      <c r="N60" s="15">
        <v>490038</v>
      </c>
      <c r="O60" s="9">
        <f t="shared" si="9"/>
        <v>-216000.48</v>
      </c>
      <c r="P60" s="15">
        <f t="shared" si="8"/>
        <v>-16000.48</v>
      </c>
      <c r="Q60" s="25"/>
    </row>
    <row r="61" s="1" customFormat="1" spans="1:17">
      <c r="A61" s="10">
        <v>53</v>
      </c>
      <c r="B61" s="20" t="s">
        <v>81</v>
      </c>
      <c r="C61" s="13" t="s">
        <v>73</v>
      </c>
      <c r="D61" s="21">
        <v>501</v>
      </c>
      <c r="E61" s="15">
        <v>6700000</v>
      </c>
      <c r="F61" s="9">
        <f>1777000+2188000</f>
        <v>3965000</v>
      </c>
      <c r="G61" s="9">
        <f>1641000+894000</f>
        <v>2535000</v>
      </c>
      <c r="H61" s="9"/>
      <c r="I61" s="9"/>
      <c r="J61" s="9">
        <f>44425+44425+54700+54700+41025+41025+22350+22350</f>
        <v>325000</v>
      </c>
      <c r="K61" s="15"/>
      <c r="L61" s="15">
        <f>547000+406000+599000+2188000+200000+25000</f>
        <v>3965000</v>
      </c>
      <c r="M61" s="15">
        <f>250000+250000+600000</f>
        <v>1100000</v>
      </c>
      <c r="N61" s="15">
        <f>200000+300000</f>
        <v>500000</v>
      </c>
      <c r="O61" s="9">
        <f t="shared" si="9"/>
        <v>1260000</v>
      </c>
      <c r="P61" s="15">
        <f t="shared" si="8"/>
        <v>1460000</v>
      </c>
      <c r="Q61" s="25"/>
    </row>
    <row r="62" s="1" customFormat="1" spans="1:17">
      <c r="A62" s="10">
        <v>54</v>
      </c>
      <c r="B62" s="20" t="s">
        <v>82</v>
      </c>
      <c r="C62" s="13" t="s">
        <v>73</v>
      </c>
      <c r="D62" s="21">
        <v>502</v>
      </c>
      <c r="E62" s="15">
        <v>7750000</v>
      </c>
      <c r="F62" s="9">
        <f>2493750-2000000</f>
        <v>493750</v>
      </c>
      <c r="G62" s="9">
        <f>3225000+2418750</f>
        <v>5643750</v>
      </c>
      <c r="H62" s="9">
        <v>1412500</v>
      </c>
      <c r="I62" s="9"/>
      <c r="J62" s="9">
        <f>62343.75+62343.75-100000+80625+80625+60468.75+60468.75+35312.5+35312.5</f>
        <v>377500</v>
      </c>
      <c r="K62" s="15">
        <f>0</f>
        <v>0</v>
      </c>
      <c r="L62" s="15">
        <f>236250+69000+200000</f>
        <v>505250</v>
      </c>
      <c r="M62" s="15">
        <f>3386250</f>
        <v>3386250</v>
      </c>
      <c r="N62" s="15">
        <v>2539688</v>
      </c>
      <c r="O62" s="9">
        <f t="shared" si="9"/>
        <v>1496312</v>
      </c>
      <c r="P62" s="15">
        <f t="shared" si="8"/>
        <v>1696312</v>
      </c>
      <c r="Q62" s="25"/>
    </row>
    <row r="63" s="1" customFormat="1" spans="1:17">
      <c r="A63" s="10">
        <v>55</v>
      </c>
      <c r="B63" s="20" t="s">
        <v>83</v>
      </c>
      <c r="C63" s="13" t="s">
        <v>73</v>
      </c>
      <c r="D63" s="21">
        <v>503</v>
      </c>
      <c r="E63" s="15">
        <v>8340000</v>
      </c>
      <c r="F63" s="9">
        <v>2162400</v>
      </c>
      <c r="G63" s="9">
        <f>2745600+2059200</f>
        <v>4804800</v>
      </c>
      <c r="H63" s="9">
        <v>1172800</v>
      </c>
      <c r="I63" s="9">
        <v>-21740</v>
      </c>
      <c r="J63" s="9">
        <f>54060+54060+68640+68640+51480+51480+29320+29320</f>
        <v>407000</v>
      </c>
      <c r="K63" s="15">
        <f>-180000-21740</f>
        <v>-201740</v>
      </c>
      <c r="L63" s="15">
        <f>26250+210000+5+1000000+251000+686400</f>
        <v>2173655</v>
      </c>
      <c r="M63" s="15">
        <f>2882880+1700000</f>
        <v>4582880</v>
      </c>
      <c r="N63" s="15">
        <f>162160+300000+210000</f>
        <v>672160</v>
      </c>
      <c r="O63" s="9">
        <f t="shared" si="9"/>
        <v>894825</v>
      </c>
      <c r="P63" s="15">
        <f t="shared" si="8"/>
        <v>1094825</v>
      </c>
      <c r="Q63" s="25"/>
    </row>
    <row r="64" s="1" customFormat="1" spans="1:17">
      <c r="A64" s="10">
        <v>56</v>
      </c>
      <c r="B64" s="20" t="s">
        <v>84</v>
      </c>
      <c r="C64" s="13" t="s">
        <v>73</v>
      </c>
      <c r="D64" s="21">
        <v>601</v>
      </c>
      <c r="E64" s="15">
        <v>5625000</v>
      </c>
      <c r="F64" s="9">
        <f>759375+2162500</f>
        <v>2921875</v>
      </c>
      <c r="G64" s="9">
        <f>1621875+881250</f>
        <v>2503125</v>
      </c>
      <c r="H64" s="9"/>
      <c r="I64" s="9"/>
      <c r="J64" s="9">
        <f>18984.38+18984.38+54062+54062.5+40546.88+40546.88+22031.25+22031.25</f>
        <v>271249.52</v>
      </c>
      <c r="K64" s="15"/>
      <c r="L64" s="15">
        <f>226250+3750+530625</f>
        <v>760625</v>
      </c>
      <c r="M64" s="15">
        <f>1900000+1700000</f>
        <v>3600000</v>
      </c>
      <c r="N64" s="15"/>
      <c r="O64" s="9">
        <f t="shared" si="9"/>
        <v>1335624.52</v>
      </c>
      <c r="P64" s="15">
        <f t="shared" si="8"/>
        <v>1535624.52</v>
      </c>
      <c r="Q64" s="25"/>
    </row>
    <row r="65" s="1" customFormat="1" spans="1:17">
      <c r="A65" s="10">
        <v>57</v>
      </c>
      <c r="B65" s="20" t="s">
        <v>85</v>
      </c>
      <c r="C65" s="13" t="s">
        <v>73</v>
      </c>
      <c r="D65" s="21">
        <v>605</v>
      </c>
      <c r="E65" s="15">
        <v>6790000</v>
      </c>
      <c r="F65" s="9">
        <f>880150+2626600</f>
        <v>3506750</v>
      </c>
      <c r="G65" s="9">
        <f>1969950+1113300</f>
        <v>3083250</v>
      </c>
      <c r="H65" s="9"/>
      <c r="I65" s="9"/>
      <c r="J65" s="9">
        <f>22003.75+22003.75+65665+65665+49248.75+49248.75+27832.5+27832.5+9000+9000</f>
        <v>347500</v>
      </c>
      <c r="K65" s="15">
        <f>-8802+100000+5074-118000</f>
        <v>-21728</v>
      </c>
      <c r="L65" s="15">
        <f>26250+210000+676095+11812</f>
        <v>924157</v>
      </c>
      <c r="M65" s="15">
        <f>2526600+2068447+148000+5300+500000+460000</f>
        <v>5708347</v>
      </c>
      <c r="N65" s="15">
        <v>388193</v>
      </c>
      <c r="O65" s="9">
        <f>F65+G65+H65+I65+J65+K65-L65-M65-N65-1</f>
        <v>-104926</v>
      </c>
      <c r="P65" s="15">
        <f t="shared" si="8"/>
        <v>95075</v>
      </c>
      <c r="Q65" s="25"/>
    </row>
    <row r="66" s="1" customFormat="1" spans="1:17">
      <c r="A66" s="10">
        <v>58</v>
      </c>
      <c r="B66" s="20" t="s">
        <v>86</v>
      </c>
      <c r="C66" s="13" t="s">
        <v>73</v>
      </c>
      <c r="D66" s="21">
        <v>701</v>
      </c>
      <c r="E66" s="15">
        <v>6750000</v>
      </c>
      <c r="F66" s="9">
        <f>1788750</f>
        <v>1788750</v>
      </c>
      <c r="G66" s="9">
        <f>2205000+1653750+902500</f>
        <v>4761250</v>
      </c>
      <c r="H66" s="9"/>
      <c r="I66" s="9"/>
      <c r="J66" s="9">
        <f>44718.75+44718.75+55125+55125+41343.75+41343.75+22562.5+22562.5</f>
        <v>327500</v>
      </c>
      <c r="K66" s="15"/>
      <c r="L66" s="15">
        <f>225000+1012500+551250</f>
        <v>1788750</v>
      </c>
      <c r="M66" s="15">
        <f>1100000+505000+600000</f>
        <v>2205000</v>
      </c>
      <c r="N66" s="15">
        <f>902500+751250+1132500</f>
        <v>2786250</v>
      </c>
      <c r="O66" s="9">
        <f t="shared" si="9"/>
        <v>97500</v>
      </c>
      <c r="P66" s="15">
        <f t="shared" si="8"/>
        <v>297500</v>
      </c>
      <c r="Q66" s="25"/>
    </row>
    <row r="67" s="1" customFormat="1" spans="1:17">
      <c r="A67" s="10">
        <v>59</v>
      </c>
      <c r="B67" s="20" t="s">
        <v>87</v>
      </c>
      <c r="C67" s="13" t="s">
        <v>73</v>
      </c>
      <c r="D67" s="21">
        <v>703</v>
      </c>
      <c r="E67" s="15">
        <v>9033200</v>
      </c>
      <c r="F67" s="9"/>
      <c r="G67" s="9">
        <f>2325302+2981288</f>
        <v>5306590</v>
      </c>
      <c r="H67" s="9">
        <f>2235966+1290644</f>
        <v>3526610</v>
      </c>
      <c r="I67" s="9"/>
      <c r="J67" s="9">
        <f>58132.55+58132.55+74532.2+74532.2+55899+55899+32266.1+32266.1</f>
        <v>441659.7</v>
      </c>
      <c r="K67" s="15">
        <v>118000</v>
      </c>
      <c r="L67" s="15">
        <v>25000</v>
      </c>
      <c r="M67" s="15">
        <f>200000+800000+1416567+2981288</f>
        <v>5397855</v>
      </c>
      <c r="N67" s="15">
        <v>0</v>
      </c>
      <c r="O67" s="9">
        <f t="shared" si="9"/>
        <v>3970004.7</v>
      </c>
      <c r="P67" s="15">
        <f t="shared" si="8"/>
        <v>4170004.7</v>
      </c>
      <c r="Q67" s="25"/>
    </row>
    <row r="68" s="1" customFormat="1" spans="1:17">
      <c r="A68" s="10">
        <v>60</v>
      </c>
      <c r="B68" s="20" t="s">
        <v>88</v>
      </c>
      <c r="C68" s="13" t="s">
        <v>73</v>
      </c>
      <c r="D68" s="21">
        <v>704</v>
      </c>
      <c r="E68" s="15">
        <v>9813200</v>
      </c>
      <c r="F68" s="9"/>
      <c r="G68" s="9"/>
      <c r="H68" s="9"/>
      <c r="I68" s="9"/>
      <c r="J68" s="9"/>
      <c r="K68" s="15"/>
      <c r="L68" s="15"/>
      <c r="M68" s="15"/>
      <c r="N68" s="15">
        <v>236250</v>
      </c>
      <c r="O68" s="9">
        <f t="shared" si="9"/>
        <v>-236250</v>
      </c>
      <c r="P68" s="15">
        <f t="shared" si="8"/>
        <v>9576950</v>
      </c>
      <c r="Q68" s="25"/>
    </row>
    <row r="69" s="1" customFormat="1" spans="1:17">
      <c r="A69" s="10">
        <v>61</v>
      </c>
      <c r="B69" s="20" t="s">
        <v>89</v>
      </c>
      <c r="C69" s="13" t="s">
        <v>73</v>
      </c>
      <c r="D69" s="21">
        <v>705</v>
      </c>
      <c r="E69" s="15">
        <v>6725000</v>
      </c>
      <c r="F69" s="9">
        <v>1953375</v>
      </c>
      <c r="G69" s="9">
        <f>3469375+1102250</f>
        <v>4571625</v>
      </c>
      <c r="H69" s="9"/>
      <c r="I69" s="9"/>
      <c r="J69" s="9">
        <f>86734.38+86734.38+48834.38+48834.38+27556.25+27556.25+9000+9000</f>
        <v>344250.02</v>
      </c>
      <c r="K69" s="15">
        <v>100000</v>
      </c>
      <c r="L69" s="15">
        <f>26250+210000+600000</f>
        <v>836250</v>
      </c>
      <c r="M69" s="15">
        <v>4600000</v>
      </c>
      <c r="N69" s="15">
        <v>1102250</v>
      </c>
      <c r="O69" s="9">
        <f t="shared" ref="O69:O77" si="10">F69+G69+H69+I69+J69+K69-L69-M69-N69</f>
        <v>430750.02</v>
      </c>
      <c r="P69" s="15">
        <f t="shared" ref="P69:P77" si="11">E69+K69-L69+J69+I69-M69-N69</f>
        <v>630750.02</v>
      </c>
      <c r="Q69" s="25"/>
    </row>
    <row r="70" s="1" customFormat="1" spans="1:17">
      <c r="A70" s="10">
        <v>62</v>
      </c>
      <c r="B70" s="20" t="s">
        <v>90</v>
      </c>
      <c r="C70" s="13" t="s">
        <v>73</v>
      </c>
      <c r="D70" s="21">
        <v>801</v>
      </c>
      <c r="E70" s="15">
        <v>6875000</v>
      </c>
      <c r="F70" s="9">
        <f>225000+1593125</f>
        <v>1818125</v>
      </c>
      <c r="G70" s="9">
        <f>2247500+1685625</f>
        <v>3933125</v>
      </c>
      <c r="H70" s="9">
        <v>923750</v>
      </c>
      <c r="I70" s="9"/>
      <c r="J70" s="9">
        <f>5625+5625+39828.13+39828.13+56187.5+56187.5+42140+42140+23093.75+23093.75</f>
        <v>333748.76</v>
      </c>
      <c r="K70" s="15"/>
      <c r="L70" s="15">
        <f>1031250+786875</f>
        <v>1818125</v>
      </c>
      <c r="M70" s="15">
        <v>2359875</v>
      </c>
      <c r="N70" s="15">
        <f>2697000+274750</f>
        <v>2971750</v>
      </c>
      <c r="O70" s="9">
        <f t="shared" si="10"/>
        <v>-141001.24</v>
      </c>
      <c r="P70" s="15">
        <f t="shared" si="11"/>
        <v>58998.7599999998</v>
      </c>
      <c r="Q70" s="25"/>
    </row>
    <row r="71" s="1" customFormat="1" spans="1:17">
      <c r="A71" s="10">
        <v>63</v>
      </c>
      <c r="B71" s="20" t="s">
        <v>91</v>
      </c>
      <c r="C71" s="13" t="s">
        <v>73</v>
      </c>
      <c r="D71" s="21">
        <v>802</v>
      </c>
      <c r="E71" s="15">
        <v>10258500</v>
      </c>
      <c r="F71" s="9">
        <f>0</f>
        <v>0</v>
      </c>
      <c r="G71" s="9">
        <f>2613248+3397890</f>
        <v>6011138</v>
      </c>
      <c r="H71" s="9">
        <v>2548417</v>
      </c>
      <c r="I71" s="9"/>
      <c r="J71" s="9">
        <f>65331+65331+84947.25+84947.25+63710.43+63710.43</f>
        <v>427977.36</v>
      </c>
      <c r="K71" s="15"/>
      <c r="L71" s="15">
        <f>0</f>
        <v>0</v>
      </c>
      <c r="M71" s="15">
        <f>1818259+214000</f>
        <v>2032259</v>
      </c>
      <c r="N71" s="15">
        <f>6500000+630000+5569</f>
        <v>7135569</v>
      </c>
      <c r="O71" s="9">
        <f t="shared" si="10"/>
        <v>-180295.640000001</v>
      </c>
      <c r="P71" s="15">
        <f t="shared" si="11"/>
        <v>1518649.36</v>
      </c>
      <c r="Q71" s="25"/>
    </row>
    <row r="72" s="1" customFormat="1" spans="1:17">
      <c r="A72" s="10">
        <v>64</v>
      </c>
      <c r="B72" s="20" t="s">
        <v>92</v>
      </c>
      <c r="C72" s="13" t="s">
        <v>73</v>
      </c>
      <c r="D72" s="21">
        <v>803</v>
      </c>
      <c r="E72" s="15">
        <v>9213200</v>
      </c>
      <c r="F72" s="9"/>
      <c r="G72" s="9"/>
      <c r="H72" s="9">
        <f>7691950+1321250</f>
        <v>9013200</v>
      </c>
      <c r="I72" s="9"/>
      <c r="J72" s="9">
        <f>192298.75+192298.75+33031.25+33031.25</f>
        <v>450660</v>
      </c>
      <c r="K72" s="15"/>
      <c r="L72" s="15"/>
      <c r="M72" s="15"/>
      <c r="N72" s="15">
        <f>236250+900000+551048+500000+1000000+1000000+1000000+1000000+1000000+889250</f>
        <v>8076548</v>
      </c>
      <c r="O72" s="9">
        <f t="shared" si="10"/>
        <v>1387312</v>
      </c>
      <c r="P72" s="15">
        <f t="shared" si="11"/>
        <v>1587312</v>
      </c>
      <c r="Q72" s="25"/>
    </row>
    <row r="73" s="1" customFormat="1" spans="1:17">
      <c r="A73" s="10">
        <v>65</v>
      </c>
      <c r="B73" s="20" t="s">
        <v>93</v>
      </c>
      <c r="C73" s="13" t="s">
        <v>73</v>
      </c>
      <c r="D73" s="21">
        <v>901</v>
      </c>
      <c r="E73" s="15">
        <v>7000000</v>
      </c>
      <c r="F73" s="9">
        <f>1847500</f>
        <v>1847500</v>
      </c>
      <c r="G73" s="9">
        <f>2290000+1717500</f>
        <v>4007500</v>
      </c>
      <c r="H73" s="9">
        <v>945000</v>
      </c>
      <c r="I73" s="9"/>
      <c r="J73" s="9">
        <f>46187.5+46187.5+57250+57250+42937.5+42937.5+23625+23625</f>
        <v>340000</v>
      </c>
      <c r="K73" s="15"/>
      <c r="L73" s="15">
        <f>25000+211250+1000000+500000</f>
        <v>1736250</v>
      </c>
      <c r="M73" s="15">
        <f>2608125+858750+858750</f>
        <v>4325625</v>
      </c>
      <c r="N73" s="15">
        <v>938125</v>
      </c>
      <c r="O73" s="9">
        <f t="shared" si="10"/>
        <v>140000</v>
      </c>
      <c r="P73" s="15">
        <f t="shared" si="11"/>
        <v>340000</v>
      </c>
      <c r="Q73" s="25"/>
    </row>
    <row r="74" s="1" customFormat="1" spans="1:17">
      <c r="A74" s="10">
        <v>66</v>
      </c>
      <c r="B74" s="20" t="s">
        <v>94</v>
      </c>
      <c r="C74" s="13" t="s">
        <v>73</v>
      </c>
      <c r="D74" s="21">
        <v>904</v>
      </c>
      <c r="E74" s="15">
        <v>9393200</v>
      </c>
      <c r="F74" s="9"/>
      <c r="G74" s="9"/>
      <c r="H74" s="9"/>
      <c r="I74" s="9"/>
      <c r="J74" s="9"/>
      <c r="K74" s="15"/>
      <c r="L74" s="15"/>
      <c r="M74" s="15"/>
      <c r="N74" s="15">
        <f>26250+200000+1408980+775922+2000000+2000000</f>
        <v>6411152</v>
      </c>
      <c r="O74" s="9">
        <f t="shared" si="10"/>
        <v>-6411152</v>
      </c>
      <c r="P74" s="15">
        <f t="shared" si="11"/>
        <v>2982048</v>
      </c>
      <c r="Q74" s="25"/>
    </row>
    <row r="75" s="1" customFormat="1" spans="1:17">
      <c r="A75" s="10">
        <v>67</v>
      </c>
      <c r="B75" s="20" t="s">
        <v>95</v>
      </c>
      <c r="C75" s="13" t="s">
        <v>73</v>
      </c>
      <c r="D75" s="21">
        <v>905</v>
      </c>
      <c r="E75" s="15">
        <v>8055000</v>
      </c>
      <c r="F75" s="9"/>
      <c r="G75" s="9"/>
      <c r="H75" s="9">
        <v>7855000</v>
      </c>
      <c r="I75" s="9"/>
      <c r="J75" s="9">
        <f>196375+196375</f>
        <v>392750</v>
      </c>
      <c r="K75" s="15">
        <v>5428</v>
      </c>
      <c r="L75" s="15">
        <f>26250+210000+500000+1208250+162175</f>
        <v>2106675</v>
      </c>
      <c r="M75" s="15">
        <v>2875000</v>
      </c>
      <c r="N75" s="15">
        <f>3300000+182075</f>
        <v>3482075</v>
      </c>
      <c r="O75" s="9">
        <f t="shared" si="10"/>
        <v>-210572</v>
      </c>
      <c r="P75" s="15">
        <f t="shared" si="11"/>
        <v>-10572</v>
      </c>
      <c r="Q75" s="25"/>
    </row>
    <row r="76" s="1" customFormat="1" spans="1:17">
      <c r="A76" s="10">
        <v>68</v>
      </c>
      <c r="B76" s="20" t="s">
        <v>96</v>
      </c>
      <c r="C76" s="13" t="s">
        <v>73</v>
      </c>
      <c r="D76" s="21">
        <v>1002</v>
      </c>
      <c r="E76" s="15">
        <v>8400000</v>
      </c>
      <c r="F76" s="9">
        <v>1029000</v>
      </c>
      <c r="G76" s="9"/>
      <c r="H76" s="9">
        <f>3276000+2457000</f>
        <v>5733000</v>
      </c>
      <c r="I76" s="9"/>
      <c r="J76" s="9">
        <f>25725+25725+81900+81900+18000+18000+61425+61425</f>
        <v>374100</v>
      </c>
      <c r="K76" s="15">
        <v>200000</v>
      </c>
      <c r="L76" s="15">
        <f>236250+1000000</f>
        <v>1236250</v>
      </c>
      <c r="M76" s="15"/>
      <c r="N76" s="15">
        <v>3338023</v>
      </c>
      <c r="O76" s="9">
        <f t="shared" si="10"/>
        <v>2761827</v>
      </c>
      <c r="P76" s="15">
        <f t="shared" si="11"/>
        <v>4399827</v>
      </c>
      <c r="Q76" s="25"/>
    </row>
    <row r="77" s="1" customFormat="1" spans="1:17">
      <c r="A77" s="10">
        <v>69</v>
      </c>
      <c r="B77" s="20" t="s">
        <v>97</v>
      </c>
      <c r="C77" s="13" t="s">
        <v>73</v>
      </c>
      <c r="D77" s="21">
        <v>1005</v>
      </c>
      <c r="E77" s="15">
        <v>7130000</v>
      </c>
      <c r="F77" s="9"/>
      <c r="G77" s="9">
        <f>592850+5084450</f>
        <v>5677300</v>
      </c>
      <c r="H77" s="9"/>
      <c r="I77" s="9"/>
      <c r="J77" s="9">
        <f>14821+14821+127111.25+127111.25</f>
        <v>283864.5</v>
      </c>
      <c r="K77" s="15">
        <v>354</v>
      </c>
      <c r="L77" s="15"/>
      <c r="M77" s="15">
        <f>3497850</f>
        <v>3497850</v>
      </c>
      <c r="N77" s="15">
        <f>1545000+1900001</f>
        <v>3445001</v>
      </c>
      <c r="O77" s="9">
        <f t="shared" si="10"/>
        <v>-981332.5</v>
      </c>
      <c r="P77" s="15">
        <f t="shared" si="11"/>
        <v>471367.5</v>
      </c>
      <c r="Q77" s="25"/>
    </row>
    <row r="78" ht="15.75" spans="1:16">
      <c r="A78" s="10"/>
      <c r="B78" s="16" t="s">
        <v>98</v>
      </c>
      <c r="C78" s="27"/>
      <c r="D78" s="27"/>
      <c r="E78" s="19">
        <f>SUM(E53:E77)</f>
        <v>197769500</v>
      </c>
      <c r="F78" s="19">
        <f>SUM(F53:F77)</f>
        <v>45313225</v>
      </c>
      <c r="G78" s="19">
        <f>SUM(G53:G77)</f>
        <v>86261659</v>
      </c>
      <c r="H78" s="19"/>
      <c r="I78" s="19">
        <f>SUM(I53:I77)</f>
        <v>-21740</v>
      </c>
      <c r="J78" s="19">
        <f>SUM(J53:J77)</f>
        <v>8588667.7</v>
      </c>
      <c r="K78" s="19">
        <f>SUM(K53:K77)</f>
        <v>798031.2</v>
      </c>
      <c r="L78" s="19">
        <f>SUM(L53:L77)</f>
        <v>37823887</v>
      </c>
      <c r="M78" s="19">
        <f>SUM(M53:M77)</f>
        <v>71752425</v>
      </c>
      <c r="N78" s="19"/>
      <c r="O78" s="19">
        <f>SUM(O53:O77)</f>
        <v>13212701.9</v>
      </c>
      <c r="P78" s="19">
        <f>SUM(P53:P77)</f>
        <v>41008747.9</v>
      </c>
    </row>
    <row r="79" s="1" customFormat="1" ht="15.75" spans="1:17">
      <c r="A79" s="10">
        <v>70</v>
      </c>
      <c r="B79" s="28" t="s">
        <v>99</v>
      </c>
      <c r="C79" s="29" t="s">
        <v>100</v>
      </c>
      <c r="D79" s="30">
        <v>103</v>
      </c>
      <c r="E79" s="15">
        <v>6373500</v>
      </c>
      <c r="F79" s="9"/>
      <c r="G79" s="9">
        <f>0</f>
        <v>0</v>
      </c>
      <c r="H79" s="9">
        <f>5148005+1025495+1252700</f>
        <v>7426200</v>
      </c>
      <c r="I79" s="9"/>
      <c r="J79" s="9">
        <f>128700+128700+25637.58+25637.58+31317.5+31317.5</f>
        <v>371310.16</v>
      </c>
      <c r="K79" s="15"/>
      <c r="L79" s="15"/>
      <c r="M79" s="15">
        <f>26250+210000+21025</f>
        <v>257275</v>
      </c>
      <c r="N79" s="15">
        <f>1873625+3275000+775000</f>
        <v>5923625</v>
      </c>
      <c r="O79" s="9">
        <f t="shared" ref="O79:O90" si="12">F79+G79+H79+I79+J79+K79-L79-M79-N79</f>
        <v>1616610.16</v>
      </c>
      <c r="P79" s="15">
        <f t="shared" ref="P79:P90" si="13">E79+K79-L79+J79+I79-M79-N79</f>
        <v>563910.16</v>
      </c>
      <c r="Q79" s="25"/>
    </row>
    <row r="80" s="1" customFormat="1" spans="1:17">
      <c r="A80" s="10">
        <v>71</v>
      </c>
      <c r="B80" s="28" t="s">
        <v>101</v>
      </c>
      <c r="C80" s="29" t="s">
        <v>100</v>
      </c>
      <c r="D80" s="30">
        <v>104</v>
      </c>
      <c r="E80" s="15">
        <v>7623500</v>
      </c>
      <c r="F80" s="9"/>
      <c r="G80" s="9"/>
      <c r="H80" s="9">
        <f>6372505+1050995</f>
        <v>7423500</v>
      </c>
      <c r="I80" s="9"/>
      <c r="J80" s="9">
        <f>159312+159312+26274.88+26274.88</f>
        <v>371173.76</v>
      </c>
      <c r="K80" s="15"/>
      <c r="L80" s="15"/>
      <c r="M80" s="15"/>
      <c r="N80" s="15">
        <f>1368521+2627090+2695519</f>
        <v>6691130</v>
      </c>
      <c r="O80" s="9">
        <f t="shared" si="12"/>
        <v>1103543.76</v>
      </c>
      <c r="P80" s="15">
        <f t="shared" si="13"/>
        <v>1303543.76</v>
      </c>
      <c r="Q80" s="25"/>
    </row>
    <row r="81" s="1" customFormat="1" spans="1:17">
      <c r="A81" s="10">
        <v>72</v>
      </c>
      <c r="B81" s="28" t="s">
        <v>102</v>
      </c>
      <c r="C81" s="29" t="s">
        <v>100</v>
      </c>
      <c r="D81" s="30">
        <v>105</v>
      </c>
      <c r="E81" s="15">
        <v>8943200</v>
      </c>
      <c r="F81" s="9"/>
      <c r="G81" s="9">
        <f>7467856</f>
        <v>7467856</v>
      </c>
      <c r="H81" s="9">
        <v>1275344</v>
      </c>
      <c r="I81" s="9"/>
      <c r="J81" s="9">
        <f>186696.4+186696.4+31883.6+31883.6</f>
        <v>437160</v>
      </c>
      <c r="K81" s="15"/>
      <c r="L81" s="15"/>
      <c r="M81" s="15"/>
      <c r="N81" s="15">
        <f>236250+2183110+3090222+2200000</f>
        <v>7709582</v>
      </c>
      <c r="O81" s="9">
        <f t="shared" si="12"/>
        <v>1470778</v>
      </c>
      <c r="P81" s="15">
        <f t="shared" si="13"/>
        <v>1670778</v>
      </c>
      <c r="Q81" s="25"/>
    </row>
    <row r="82" s="1" customFormat="1" spans="1:17">
      <c r="A82" s="10">
        <v>73</v>
      </c>
      <c r="B82" s="28" t="s">
        <v>103</v>
      </c>
      <c r="C82" s="29" t="s">
        <v>100</v>
      </c>
      <c r="D82" s="30">
        <v>301</v>
      </c>
      <c r="E82" s="15">
        <v>7175000</v>
      </c>
      <c r="F82" s="9"/>
      <c r="G82" s="9">
        <f>1888625+2349500+1762125</f>
        <v>6000250</v>
      </c>
      <c r="H82" s="9">
        <v>974750</v>
      </c>
      <c r="I82" s="9"/>
      <c r="J82" s="9">
        <f>47215.63+47215.63+58737.5+58737.5+44053+44053+24368.75+24368.75</f>
        <v>348749.76</v>
      </c>
      <c r="K82" s="15"/>
      <c r="L82" s="15"/>
      <c r="M82" s="15">
        <f>225000+500000+255136+321114+400000+187375+2325736+728848</f>
        <v>4943209</v>
      </c>
      <c r="N82" s="15">
        <v>500000</v>
      </c>
      <c r="O82" s="9">
        <f t="shared" si="12"/>
        <v>1880540.76</v>
      </c>
      <c r="P82" s="15">
        <f t="shared" si="13"/>
        <v>2080540.76</v>
      </c>
      <c r="Q82" s="25"/>
    </row>
    <row r="83" s="1" customFormat="1" spans="1:17">
      <c r="A83" s="10">
        <v>74</v>
      </c>
      <c r="B83" s="28" t="s">
        <v>104</v>
      </c>
      <c r="C83" s="29" t="s">
        <v>100</v>
      </c>
      <c r="D83" s="30">
        <v>302</v>
      </c>
      <c r="E83" s="15">
        <v>7100000</v>
      </c>
      <c r="F83" s="9"/>
      <c r="G83" s="9">
        <f>4195000+1743000</f>
        <v>5938000</v>
      </c>
      <c r="H83" s="9">
        <v>962000</v>
      </c>
      <c r="I83" s="9"/>
      <c r="J83" s="9">
        <f>104875+104875+43575+43575+24050+24050</f>
        <v>345000</v>
      </c>
      <c r="K83" s="15">
        <v>106</v>
      </c>
      <c r="L83" s="15"/>
      <c r="M83" s="15">
        <f>225000+1776563+2403187+1600000</f>
        <v>6004750</v>
      </c>
      <c r="N83" s="15">
        <v>962000</v>
      </c>
      <c r="O83" s="9">
        <f t="shared" si="12"/>
        <v>278356</v>
      </c>
      <c r="P83" s="15">
        <f t="shared" si="13"/>
        <v>478356</v>
      </c>
      <c r="Q83" s="25"/>
    </row>
    <row r="84" s="1" customFormat="1" spans="1:17">
      <c r="A84" s="10">
        <v>75</v>
      </c>
      <c r="B84" s="28" t="s">
        <v>105</v>
      </c>
      <c r="C84" s="29" t="s">
        <v>100</v>
      </c>
      <c r="D84" s="30">
        <v>304</v>
      </c>
      <c r="E84" s="15">
        <v>7512500</v>
      </c>
      <c r="F84" s="9"/>
      <c r="G84" s="9">
        <f>4432188+1848187</f>
        <v>6280375</v>
      </c>
      <c r="H84" s="9">
        <v>1032125</v>
      </c>
      <c r="I84" s="9"/>
      <c r="J84" s="9">
        <f>110804.7+110804.7+46204.68+46204.68+25803.13+25803.13</f>
        <v>365625.02</v>
      </c>
      <c r="K84" s="15"/>
      <c r="L84" s="15"/>
      <c r="M84" s="15">
        <f>1353125+1200000+2000000+1000000</f>
        <v>5553125</v>
      </c>
      <c r="N84" s="15">
        <f>500000+1000000+600000</f>
        <v>2100000</v>
      </c>
      <c r="O84" s="9">
        <f t="shared" si="12"/>
        <v>25000.0199999996</v>
      </c>
      <c r="P84" s="15">
        <f t="shared" si="13"/>
        <v>225000.02</v>
      </c>
      <c r="Q84" s="25"/>
    </row>
    <row r="85" s="1" customFormat="1" spans="1:17">
      <c r="A85" s="10">
        <v>76</v>
      </c>
      <c r="B85" s="28" t="s">
        <v>106</v>
      </c>
      <c r="C85" s="29" t="s">
        <v>100</v>
      </c>
      <c r="D85" s="30">
        <v>305</v>
      </c>
      <c r="E85" s="15">
        <v>7633200</v>
      </c>
      <c r="F85" s="9"/>
      <c r="G85" s="9">
        <f>6142556</f>
        <v>6142556</v>
      </c>
      <c r="H85" s="9">
        <v>1290644</v>
      </c>
      <c r="I85" s="9"/>
      <c r="J85" s="9">
        <f>153563.9+153563.9+32266.1+32266.1+9000+9000</f>
        <v>389660</v>
      </c>
      <c r="K85" s="15">
        <v>100000</v>
      </c>
      <c r="L85" s="15"/>
      <c r="M85" s="15">
        <f>236250+6213434</f>
        <v>6449684</v>
      </c>
      <c r="N85" s="15">
        <v>1355176</v>
      </c>
      <c r="O85" s="9">
        <f t="shared" si="12"/>
        <v>118000</v>
      </c>
      <c r="P85" s="15">
        <f t="shared" si="13"/>
        <v>318000</v>
      </c>
      <c r="Q85" s="25"/>
    </row>
    <row r="86" s="1" customFormat="1" spans="1:17">
      <c r="A86" s="10">
        <v>77</v>
      </c>
      <c r="B86" s="28" t="s">
        <v>107</v>
      </c>
      <c r="C86" s="29" t="s">
        <v>100</v>
      </c>
      <c r="D86" s="30">
        <v>306</v>
      </c>
      <c r="E86" s="15">
        <v>7533200</v>
      </c>
      <c r="F86" s="9"/>
      <c r="G86" s="9"/>
      <c r="H86" s="9">
        <f>6042556+1290644</f>
        <v>7333200</v>
      </c>
      <c r="I86" s="9"/>
      <c r="J86" s="9">
        <f>151063.9+151063.9+32266.1+32266.1</f>
        <v>366660</v>
      </c>
      <c r="K86" s="15"/>
      <c r="L86" s="15"/>
      <c r="M86" s="15"/>
      <c r="N86" s="15">
        <f>25000+254980+900000+750000+450000+530000+730000+590000+200000+300000+500000+94220+2113041+95959</f>
        <v>7533200</v>
      </c>
      <c r="O86" s="9">
        <f t="shared" si="12"/>
        <v>166660</v>
      </c>
      <c r="P86" s="15">
        <f t="shared" si="13"/>
        <v>366660</v>
      </c>
      <c r="Q86" s="25"/>
    </row>
    <row r="87" s="1" customFormat="1" spans="1:17">
      <c r="A87" s="10">
        <v>78</v>
      </c>
      <c r="B87" s="28" t="s">
        <v>108</v>
      </c>
      <c r="C87" s="29" t="s">
        <v>100</v>
      </c>
      <c r="D87" s="30">
        <v>401</v>
      </c>
      <c r="E87" s="15">
        <v>6450000</v>
      </c>
      <c r="F87" s="9"/>
      <c r="G87" s="9">
        <f>1835750-500000+2273000+1704750</f>
        <v>5313500</v>
      </c>
      <c r="H87" s="9">
        <f>1704750-768250</f>
        <v>936500</v>
      </c>
      <c r="I87" s="9"/>
      <c r="J87" s="9">
        <f>45893.75+45893.75-12500-12500+56825+56825+42618.75+42618.75+42618.75+42618.75-19206-19206</f>
        <v>312500.5</v>
      </c>
      <c r="K87" s="15">
        <v>353</v>
      </c>
      <c r="L87" s="15"/>
      <c r="M87" s="15">
        <v>3789188</v>
      </c>
      <c r="N87" s="15">
        <f>650000+600000+300000+1223313</f>
        <v>2773313</v>
      </c>
      <c r="O87" s="9">
        <f t="shared" si="12"/>
        <v>352.5</v>
      </c>
      <c r="P87" s="15">
        <f t="shared" si="13"/>
        <v>200352.5</v>
      </c>
      <c r="Q87" s="25"/>
    </row>
    <row r="88" s="1" customFormat="1" spans="1:17">
      <c r="A88" s="10">
        <v>79</v>
      </c>
      <c r="B88" s="28" t="s">
        <v>109</v>
      </c>
      <c r="C88" s="29" t="s">
        <v>100</v>
      </c>
      <c r="D88" s="30">
        <v>403</v>
      </c>
      <c r="E88" s="15">
        <v>6273500</v>
      </c>
      <c r="F88" s="9"/>
      <c r="G88" s="9"/>
      <c r="H88" s="9">
        <v>1025495</v>
      </c>
      <c r="I88" s="9"/>
      <c r="J88" s="9">
        <f>9000+9000+25637.38+25637.38</f>
        <v>69274.76</v>
      </c>
      <c r="K88" s="15">
        <v>100000</v>
      </c>
      <c r="L88" s="15"/>
      <c r="M88" s="15">
        <f>26250+210000+22076+564022</f>
        <v>822348</v>
      </c>
      <c r="N88" s="15">
        <f>1800000+2678057</f>
        <v>4478057</v>
      </c>
      <c r="O88" s="9">
        <f t="shared" si="12"/>
        <v>-4105635.24</v>
      </c>
      <c r="P88" s="15">
        <f t="shared" si="13"/>
        <v>1142369.76</v>
      </c>
      <c r="Q88" s="25"/>
    </row>
    <row r="89" s="1" customFormat="1" spans="1:17">
      <c r="A89" s="10">
        <v>80</v>
      </c>
      <c r="B89" s="28" t="s">
        <v>110</v>
      </c>
      <c r="C89" s="29" t="s">
        <v>100</v>
      </c>
      <c r="D89" s="30">
        <v>404</v>
      </c>
      <c r="E89" s="15">
        <v>7100000</v>
      </c>
      <c r="F89" s="9">
        <v>2324000</v>
      </c>
      <c r="G89" s="9">
        <f>1941500-70500+1743000</f>
        <v>3614000</v>
      </c>
      <c r="H89" s="9">
        <v>962000</v>
      </c>
      <c r="I89" s="9"/>
      <c r="J89" s="9">
        <f>48537.5+48537.5-1762.5-1762.5+58100+58100+43575+43575+24050+24050</f>
        <v>345000</v>
      </c>
      <c r="K89" s="15"/>
      <c r="L89" s="15"/>
      <c r="M89" s="15">
        <f>25000+200000+1087500+200000+150000+2892350</f>
        <v>4554850</v>
      </c>
      <c r="N89" s="15">
        <f>1781250</f>
        <v>1781250</v>
      </c>
      <c r="O89" s="9">
        <f t="shared" si="12"/>
        <v>908900</v>
      </c>
      <c r="P89" s="15">
        <f t="shared" si="13"/>
        <v>1108900</v>
      </c>
      <c r="Q89" s="25"/>
    </row>
    <row r="90" s="1" customFormat="1" spans="1:17">
      <c r="A90" s="10">
        <v>81</v>
      </c>
      <c r="B90" s="28" t="s">
        <v>111</v>
      </c>
      <c r="C90" s="29" t="s">
        <v>100</v>
      </c>
      <c r="D90" s="30">
        <v>406</v>
      </c>
      <c r="E90" s="15">
        <v>9150000</v>
      </c>
      <c r="F90" s="9"/>
      <c r="G90" s="9"/>
      <c r="H90" s="9"/>
      <c r="I90" s="9"/>
      <c r="J90" s="9"/>
      <c r="K90" s="15"/>
      <c r="L90" s="15"/>
      <c r="M90" s="15"/>
      <c r="N90" s="15">
        <f>236250+500000+941125</f>
        <v>1677375</v>
      </c>
      <c r="O90" s="9">
        <f t="shared" si="12"/>
        <v>-1677375</v>
      </c>
      <c r="P90" s="15">
        <f t="shared" si="13"/>
        <v>7472625</v>
      </c>
      <c r="Q90" s="25"/>
    </row>
    <row r="91" s="1" customFormat="1" spans="1:17">
      <c r="A91" s="10">
        <v>82</v>
      </c>
      <c r="B91" s="28" t="s">
        <v>112</v>
      </c>
      <c r="C91" s="29" t="s">
        <v>100</v>
      </c>
      <c r="D91" s="30">
        <v>502</v>
      </c>
      <c r="E91" s="15">
        <v>7250000</v>
      </c>
      <c r="F91" s="9"/>
      <c r="G91" s="9">
        <f>1906250+2375000+1781250</f>
        <v>6062500</v>
      </c>
      <c r="H91" s="9">
        <v>987500</v>
      </c>
      <c r="I91" s="9"/>
      <c r="J91" s="9">
        <f>47656.25+47656.25+59375+59375+44531.25+44531.25+24687.5+24687.5+9000+9000</f>
        <v>370500</v>
      </c>
      <c r="K91" s="15">
        <f>100000+5428</f>
        <v>105428</v>
      </c>
      <c r="L91" s="15"/>
      <c r="M91" s="15">
        <f>25000+200000+1118250+2905000</f>
        <v>4248250</v>
      </c>
      <c r="N91" s="15">
        <f>1243000+874375+1011875</f>
        <v>3129250</v>
      </c>
      <c r="O91" s="9">
        <f t="shared" ref="O91:O107" si="14">F91+G91+H91+I91+J91+K91-L91-M91-N91</f>
        <v>148428</v>
      </c>
      <c r="P91" s="15">
        <f t="shared" ref="P91:P107" si="15">E91+K91-L91+J91+I91-M91-N91</f>
        <v>348428</v>
      </c>
      <c r="Q91" s="25"/>
    </row>
    <row r="92" s="1" customFormat="1" spans="1:17">
      <c r="A92" s="10">
        <v>83</v>
      </c>
      <c r="B92" s="28" t="s">
        <v>113</v>
      </c>
      <c r="C92" s="29" t="s">
        <v>100</v>
      </c>
      <c r="D92" s="30">
        <v>504</v>
      </c>
      <c r="E92" s="15">
        <v>5950000</v>
      </c>
      <c r="F92" s="9">
        <v>835750</v>
      </c>
      <c r="G92" s="9">
        <f>2273000+1704750</f>
        <v>3977750</v>
      </c>
      <c r="H92" s="9">
        <v>936500</v>
      </c>
      <c r="I92" s="9"/>
      <c r="J92" s="9">
        <f>20893.75+20893.75+56825+56825+42618.75+42618.75+23412.5+23412.5</f>
        <v>287500</v>
      </c>
      <c r="K92" s="15">
        <v>-6108</v>
      </c>
      <c r="L92" s="15">
        <v>236250</v>
      </c>
      <c r="M92" s="15">
        <v>4778243</v>
      </c>
      <c r="N92" s="15">
        <f>973492</f>
        <v>973492</v>
      </c>
      <c r="O92" s="9">
        <f t="shared" si="14"/>
        <v>43407</v>
      </c>
      <c r="P92" s="15">
        <f t="shared" si="15"/>
        <v>243407</v>
      </c>
      <c r="Q92" s="25"/>
    </row>
    <row r="93" s="1" customFormat="1" spans="1:17">
      <c r="A93" s="10">
        <v>84</v>
      </c>
      <c r="B93" s="28" t="s">
        <v>114</v>
      </c>
      <c r="C93" s="29" t="s">
        <v>100</v>
      </c>
      <c r="D93" s="30">
        <v>601</v>
      </c>
      <c r="E93" s="15">
        <v>5401500</v>
      </c>
      <c r="F93" s="9">
        <v>1026000</v>
      </c>
      <c r="G93" s="9">
        <f>810152-1550050+2273510</f>
        <v>1533612</v>
      </c>
      <c r="H93" s="9">
        <v>936755</v>
      </c>
      <c r="I93" s="9"/>
      <c r="J93" s="9">
        <f>25650+25650+20253.8+20253.8-38751-38751+56837.75+56837.75+23418.88+23418.88</f>
        <v>174818.86</v>
      </c>
      <c r="K93" s="15"/>
      <c r="L93" s="15">
        <f>26150+210000+800000</f>
        <v>1036150</v>
      </c>
      <c r="M93" s="38">
        <v>0</v>
      </c>
      <c r="N93" s="38">
        <f>500000+400000+636000+500000</f>
        <v>2036000</v>
      </c>
      <c r="O93" s="9">
        <f t="shared" si="14"/>
        <v>599035.86</v>
      </c>
      <c r="P93" s="15">
        <f t="shared" si="15"/>
        <v>2504168.86</v>
      </c>
      <c r="Q93" s="25"/>
    </row>
    <row r="94" s="1" customFormat="1" spans="1:17">
      <c r="A94" s="10">
        <v>85</v>
      </c>
      <c r="B94" s="28" t="s">
        <v>115</v>
      </c>
      <c r="C94" s="29" t="s">
        <v>100</v>
      </c>
      <c r="D94" s="30">
        <v>602</v>
      </c>
      <c r="E94" s="15">
        <v>7175000</v>
      </c>
      <c r="F94" s="9"/>
      <c r="G94" s="9">
        <f>1888625+2349500</f>
        <v>4238125</v>
      </c>
      <c r="H94" s="9">
        <v>974750</v>
      </c>
      <c r="I94" s="9"/>
      <c r="J94" s="9">
        <f>47215.63+47215.63+58737.5+58737.5+24368.75+24368.75</f>
        <v>260643.76</v>
      </c>
      <c r="K94" s="15"/>
      <c r="L94" s="15">
        <v>26250</v>
      </c>
      <c r="M94" s="15">
        <f>1200000+554625+739500+739500+739500</f>
        <v>3973125</v>
      </c>
      <c r="N94" s="15">
        <f>800000+863875</f>
        <v>1663875</v>
      </c>
      <c r="O94" s="9">
        <f t="shared" si="14"/>
        <v>-189731.24</v>
      </c>
      <c r="P94" s="15">
        <f t="shared" si="15"/>
        <v>1772393.76</v>
      </c>
      <c r="Q94" s="25"/>
    </row>
    <row r="95" s="1" customFormat="1" spans="1:17">
      <c r="A95" s="10">
        <v>86</v>
      </c>
      <c r="B95" s="28" t="s">
        <v>116</v>
      </c>
      <c r="C95" s="29" t="s">
        <v>100</v>
      </c>
      <c r="D95" s="30">
        <v>603</v>
      </c>
      <c r="E95" s="15">
        <v>7436000</v>
      </c>
      <c r="F95" s="9"/>
      <c r="G95" s="9">
        <f>1949960+2438240+1828680</f>
        <v>6216880</v>
      </c>
      <c r="H95" s="9">
        <v>1019120</v>
      </c>
      <c r="I95" s="9"/>
      <c r="J95" s="9">
        <f>48749+48749+60956+60956+45717+45717+9000+9000+25478+25478</f>
        <v>379800</v>
      </c>
      <c r="K95" s="15">
        <v>100000</v>
      </c>
      <c r="L95" s="15"/>
      <c r="M95" s="15">
        <f>236250+4371360+1828680</f>
        <v>6436290</v>
      </c>
      <c r="N95" s="15">
        <v>118000</v>
      </c>
      <c r="O95" s="9">
        <f t="shared" si="14"/>
        <v>1161510</v>
      </c>
      <c r="P95" s="15">
        <f t="shared" si="15"/>
        <v>1361510</v>
      </c>
      <c r="Q95" s="25"/>
    </row>
    <row r="96" s="1" customFormat="1" spans="1:17">
      <c r="A96" s="10">
        <v>87</v>
      </c>
      <c r="B96" s="28" t="s">
        <v>117</v>
      </c>
      <c r="C96" s="29" t="s">
        <v>100</v>
      </c>
      <c r="D96" s="30">
        <v>605</v>
      </c>
      <c r="E96" s="15">
        <v>7000000</v>
      </c>
      <c r="F96" s="9">
        <v>853000</v>
      </c>
      <c r="G96" s="9">
        <f>2732000+2049000</f>
        <v>4781000</v>
      </c>
      <c r="H96" s="9"/>
      <c r="I96" s="9"/>
      <c r="J96" s="9">
        <f>21325+21325+68300+68300+51225+51225</f>
        <v>281700</v>
      </c>
      <c r="K96" s="15"/>
      <c r="L96" s="15">
        <f>25000+659400</f>
        <v>684400</v>
      </c>
      <c r="M96" s="15">
        <f>1680000+1399850</f>
        <v>3079850</v>
      </c>
      <c r="N96" s="15">
        <v>1769750</v>
      </c>
      <c r="O96" s="9">
        <f t="shared" si="14"/>
        <v>381700</v>
      </c>
      <c r="P96" s="15">
        <f t="shared" si="15"/>
        <v>1747700</v>
      </c>
      <c r="Q96" s="25"/>
    </row>
    <row r="97" s="1" customFormat="1" spans="1:17">
      <c r="A97" s="10">
        <v>88</v>
      </c>
      <c r="B97" s="28" t="s">
        <v>118</v>
      </c>
      <c r="C97" s="29" t="s">
        <v>100</v>
      </c>
      <c r="D97" s="30">
        <v>606</v>
      </c>
      <c r="E97" s="15">
        <v>6898200</v>
      </c>
      <c r="F97" s="9"/>
      <c r="G97" s="9">
        <v>5430506</v>
      </c>
      <c r="H97" s="9">
        <f>1267694</f>
        <v>1267694</v>
      </c>
      <c r="I97" s="9"/>
      <c r="J97" s="9">
        <f>135762.65+135762.65+31692.35+31692.35</f>
        <v>334910</v>
      </c>
      <c r="K97" s="15">
        <v>118000</v>
      </c>
      <c r="L97" s="15"/>
      <c r="M97" s="15">
        <f>236250+75155</f>
        <v>311405</v>
      </c>
      <c r="N97" s="15">
        <f>1575000+1507158+1575000+400000+333468</f>
        <v>5390626</v>
      </c>
      <c r="O97" s="9">
        <f t="shared" si="14"/>
        <v>1449079</v>
      </c>
      <c r="P97" s="15">
        <f t="shared" si="15"/>
        <v>1649079</v>
      </c>
      <c r="Q97" s="25"/>
    </row>
    <row r="98" s="1" customFormat="1" spans="1:17">
      <c r="A98" s="10">
        <v>89</v>
      </c>
      <c r="B98" s="28" t="s">
        <v>119</v>
      </c>
      <c r="C98" s="29" t="s">
        <v>100</v>
      </c>
      <c r="D98" s="30">
        <v>702</v>
      </c>
      <c r="E98" s="15">
        <v>5875000</v>
      </c>
      <c r="F98" s="9"/>
      <c r="G98" s="9">
        <f>588625+2349500</f>
        <v>2938125</v>
      </c>
      <c r="H98" s="9">
        <f>1762125+974750</f>
        <v>2736875</v>
      </c>
      <c r="I98" s="9"/>
      <c r="J98" s="9">
        <f>14715.63+14715.63+58737.5+58737.5+44053+44053+24368.75+24368.75</f>
        <v>283749.76</v>
      </c>
      <c r="K98" s="15">
        <v>5428</v>
      </c>
      <c r="L98" s="15"/>
      <c r="M98" s="15">
        <f>1625000+400000+400000+200000+250000+210000</f>
        <v>3085000</v>
      </c>
      <c r="N98" s="15">
        <f>1850000+1164750</f>
        <v>3014750</v>
      </c>
      <c r="O98" s="9">
        <f t="shared" si="14"/>
        <v>-135572.24</v>
      </c>
      <c r="P98" s="15">
        <f t="shared" si="15"/>
        <v>64427.7599999998</v>
      </c>
      <c r="Q98" s="25"/>
    </row>
    <row r="99" s="1" customFormat="1" spans="1:17">
      <c r="A99" s="10">
        <v>90</v>
      </c>
      <c r="B99" s="28" t="s">
        <v>120</v>
      </c>
      <c r="C99" s="29" t="s">
        <v>100</v>
      </c>
      <c r="D99" s="30">
        <v>703</v>
      </c>
      <c r="E99" s="15">
        <v>7623500</v>
      </c>
      <c r="F99" s="9"/>
      <c r="G99" s="9">
        <f>4496013</f>
        <v>4496013</v>
      </c>
      <c r="H99" s="9">
        <f>1876492+1050995</f>
        <v>2927487</v>
      </c>
      <c r="I99" s="9"/>
      <c r="J99" s="9">
        <f>112400.33+112400.33+46912+46912+26274.88+26274.88</f>
        <v>371174.42</v>
      </c>
      <c r="K99" s="15"/>
      <c r="L99" s="15"/>
      <c r="M99" s="15">
        <f>1386250+2500000</f>
        <v>3886250</v>
      </c>
      <c r="N99" s="15">
        <f>2000000+650000</f>
        <v>2650000</v>
      </c>
      <c r="O99" s="9">
        <f t="shared" si="14"/>
        <v>1258424.42</v>
      </c>
      <c r="P99" s="15">
        <f t="shared" si="15"/>
        <v>1458424.42</v>
      </c>
      <c r="Q99" s="25"/>
    </row>
    <row r="100" s="1" customFormat="1" spans="1:17">
      <c r="A100" s="10">
        <v>91</v>
      </c>
      <c r="B100" s="28" t="s">
        <v>121</v>
      </c>
      <c r="C100" s="29" t="s">
        <v>100</v>
      </c>
      <c r="D100" s="30">
        <v>704</v>
      </c>
      <c r="E100" s="15">
        <v>7623500</v>
      </c>
      <c r="F100" s="9"/>
      <c r="G100" s="9"/>
      <c r="H100" s="9">
        <f>6372505+1050995</f>
        <v>7423500</v>
      </c>
      <c r="I100" s="9"/>
      <c r="J100" s="9">
        <f>159312.63+159312.63+26274.88+26274.88</f>
        <v>371175.02</v>
      </c>
      <c r="K100" s="15"/>
      <c r="L100" s="15"/>
      <c r="M100" s="15">
        <f>26250+200000</f>
        <v>226250</v>
      </c>
      <c r="N100" s="15">
        <f>1776523+4597406+800000</f>
        <v>7173929</v>
      </c>
      <c r="O100" s="9">
        <f t="shared" si="14"/>
        <v>394496.02</v>
      </c>
      <c r="P100" s="15">
        <f t="shared" si="15"/>
        <v>594496.02</v>
      </c>
      <c r="Q100" s="25"/>
    </row>
    <row r="101" s="1" customFormat="1" spans="1:17">
      <c r="A101" s="10">
        <v>92</v>
      </c>
      <c r="B101" s="28" t="s">
        <v>122</v>
      </c>
      <c r="C101" s="29" t="s">
        <v>100</v>
      </c>
      <c r="D101" s="30">
        <v>705</v>
      </c>
      <c r="E101" s="15">
        <v>8400000</v>
      </c>
      <c r="F101" s="9">
        <f>2176500</f>
        <v>2176500</v>
      </c>
      <c r="G101" s="9">
        <v>2766000</v>
      </c>
      <c r="H101" s="9">
        <f>2074500+1183000</f>
        <v>3257500</v>
      </c>
      <c r="I101" s="9"/>
      <c r="J101" s="9">
        <f>54412.5+54412.5+69150+69150+51862.5+51862.5+29575+29575</f>
        <v>410000</v>
      </c>
      <c r="K101" s="15"/>
      <c r="L101" s="15">
        <f>25000+200000+1260000+691500</f>
        <v>2176500</v>
      </c>
      <c r="M101" s="15">
        <v>2766000</v>
      </c>
      <c r="N101" s="15">
        <v>3420375</v>
      </c>
      <c r="O101" s="9">
        <f t="shared" si="14"/>
        <v>247125</v>
      </c>
      <c r="P101" s="15">
        <f t="shared" si="15"/>
        <v>447125</v>
      </c>
      <c r="Q101" s="25"/>
    </row>
    <row r="102" s="1" customFormat="1" spans="1:17">
      <c r="A102" s="10">
        <v>93</v>
      </c>
      <c r="B102" s="28" t="s">
        <v>123</v>
      </c>
      <c r="C102" s="29" t="s">
        <v>100</v>
      </c>
      <c r="D102" s="30">
        <v>706</v>
      </c>
      <c r="E102" s="15">
        <v>8943200</v>
      </c>
      <c r="F102" s="9"/>
      <c r="G102" s="9">
        <v>2304152</v>
      </c>
      <c r="H102" s="9">
        <f>5163704+1275344</f>
        <v>6439048</v>
      </c>
      <c r="I102" s="9"/>
      <c r="J102" s="9">
        <f>57603.8+57603.8+129092.6+129092.6+9000+9000+31883.6+31883.6</f>
        <v>455160</v>
      </c>
      <c r="K102" s="15">
        <v>100000</v>
      </c>
      <c r="L102" s="15"/>
      <c r="M102" s="15">
        <f>26250+210000</f>
        <v>236250</v>
      </c>
      <c r="N102" s="15">
        <f>5183494+600000+961770+118000</f>
        <v>6863264</v>
      </c>
      <c r="O102" s="9">
        <f t="shared" si="14"/>
        <v>2198846</v>
      </c>
      <c r="P102" s="15">
        <f t="shared" si="15"/>
        <v>2398846</v>
      </c>
      <c r="Q102" s="25"/>
    </row>
    <row r="103" spans="1:16">
      <c r="A103" s="10">
        <v>94</v>
      </c>
      <c r="B103" s="28" t="s">
        <v>124</v>
      </c>
      <c r="C103" s="29" t="s">
        <v>100</v>
      </c>
      <c r="D103" s="30">
        <v>802</v>
      </c>
      <c r="E103" s="15">
        <v>6150000</v>
      </c>
      <c r="F103" s="9"/>
      <c r="G103" s="9">
        <f>806250+2375000</f>
        <v>3181250</v>
      </c>
      <c r="H103" s="9">
        <f>1781250+987500</f>
        <v>2768750</v>
      </c>
      <c r="I103" s="9"/>
      <c r="J103" s="9">
        <f>20156.25+20156.25+59375+59375+44531.25+44531.25+24687.5+24687.5</f>
        <v>297500</v>
      </c>
      <c r="K103" s="15"/>
      <c r="L103" s="15"/>
      <c r="M103" s="15">
        <f>225000+87500+100000+100000+100000+100000+93750+623437+10+5+250000</f>
        <v>1679702</v>
      </c>
      <c r="N103" s="15">
        <f>1400000+150000+110626+900000+970313+200000</f>
        <v>3730939</v>
      </c>
      <c r="O103" s="9">
        <f t="shared" si="14"/>
        <v>836859</v>
      </c>
      <c r="P103" s="15">
        <f t="shared" si="15"/>
        <v>1036859</v>
      </c>
    </row>
    <row r="104" s="1" customFormat="1" spans="1:17">
      <c r="A104" s="10">
        <v>95</v>
      </c>
      <c r="B104" s="28" t="s">
        <v>125</v>
      </c>
      <c r="C104" s="29" t="s">
        <v>100</v>
      </c>
      <c r="D104" s="30">
        <v>804</v>
      </c>
      <c r="E104" s="15">
        <v>6986000</v>
      </c>
      <c r="F104" s="9"/>
      <c r="G104" s="9">
        <f>1985210+2489240</f>
        <v>4474450</v>
      </c>
      <c r="H104" s="9">
        <f>1866930+444620</f>
        <v>2311550</v>
      </c>
      <c r="I104" s="9"/>
      <c r="J104" s="9">
        <f>49630.25+49630.25+62231+62231+46673.25+46673.25+11115.5+11115.5</f>
        <v>339300</v>
      </c>
      <c r="K104" s="15"/>
      <c r="L104" s="15"/>
      <c r="M104" s="15">
        <f>26250+210000+537900+3267127</f>
        <v>4041277</v>
      </c>
      <c r="N104" s="15">
        <f>1650000+100000+210000</f>
        <v>1960000</v>
      </c>
      <c r="O104" s="9">
        <f t="shared" si="14"/>
        <v>1124023</v>
      </c>
      <c r="P104" s="15">
        <f t="shared" si="15"/>
        <v>1324023</v>
      </c>
      <c r="Q104" s="25"/>
    </row>
    <row r="105" spans="1:16">
      <c r="A105" s="10">
        <v>96</v>
      </c>
      <c r="B105" s="28" t="s">
        <v>126</v>
      </c>
      <c r="C105" s="29" t="s">
        <v>100</v>
      </c>
      <c r="D105" s="30">
        <v>901</v>
      </c>
      <c r="E105" s="15">
        <v>6498500</v>
      </c>
      <c r="F105" s="9"/>
      <c r="G105" s="9">
        <f>4539137</f>
        <v>4539137</v>
      </c>
      <c r="H105" s="9">
        <f>-1200000+1895618</f>
        <v>695618</v>
      </c>
      <c r="I105" s="9"/>
      <c r="J105" s="9">
        <f>113478.43+113478.43-30000-30000+47390.45+47390.45</f>
        <v>261737.76</v>
      </c>
      <c r="K105" s="15"/>
      <c r="L105" s="15"/>
      <c r="M105" s="15">
        <f>26250+210000</f>
        <v>236250</v>
      </c>
      <c r="N105" s="15">
        <f>586647+2527490</f>
        <v>3114137</v>
      </c>
      <c r="O105" s="9">
        <f t="shared" si="14"/>
        <v>2146105.76</v>
      </c>
      <c r="P105" s="15">
        <f t="shared" si="15"/>
        <v>3409850.76</v>
      </c>
    </row>
    <row r="106" spans="1:16">
      <c r="A106" s="10">
        <v>97</v>
      </c>
      <c r="B106" s="28" t="s">
        <v>127</v>
      </c>
      <c r="C106" s="29" t="s">
        <v>100</v>
      </c>
      <c r="D106" s="30">
        <v>902</v>
      </c>
      <c r="E106" s="15">
        <v>7400000</v>
      </c>
      <c r="F106" s="9"/>
      <c r="G106" s="9">
        <f>1941500+2426000</f>
        <v>4367500</v>
      </c>
      <c r="H106" s="9">
        <f>1819500+1013000</f>
        <v>2832500</v>
      </c>
      <c r="I106" s="9"/>
      <c r="J106" s="9">
        <f>48537.5+48537.5+60650+60650+45487.5+45487.5+25325+25325</f>
        <v>360000</v>
      </c>
      <c r="K106" s="15">
        <v>-150000</v>
      </c>
      <c r="L106" s="15"/>
      <c r="M106" s="15">
        <f>225000+1065000+2</f>
        <v>1290002</v>
      </c>
      <c r="N106" s="15">
        <f>2375000+2493000+419000</f>
        <v>5287000</v>
      </c>
      <c r="O106" s="9">
        <f t="shared" si="14"/>
        <v>832998</v>
      </c>
      <c r="P106" s="15">
        <f t="shared" si="15"/>
        <v>1032998</v>
      </c>
    </row>
    <row r="107" s="1" customFormat="1" spans="1:17">
      <c r="A107" s="10">
        <v>98</v>
      </c>
      <c r="B107" s="28" t="s">
        <v>128</v>
      </c>
      <c r="C107" s="29" t="s">
        <v>100</v>
      </c>
      <c r="D107" s="30">
        <v>903</v>
      </c>
      <c r="E107" s="15">
        <v>7875500</v>
      </c>
      <c r="F107" s="9"/>
      <c r="G107" s="9"/>
      <c r="H107" s="9"/>
      <c r="I107" s="9"/>
      <c r="J107" s="9"/>
      <c r="K107" s="15"/>
      <c r="L107" s="15"/>
      <c r="M107" s="15"/>
      <c r="N107" s="15">
        <f>236250+1240391+679263+4425761</f>
        <v>6581665</v>
      </c>
      <c r="O107" s="9">
        <f t="shared" si="14"/>
        <v>-6581665</v>
      </c>
      <c r="P107" s="15">
        <f t="shared" si="15"/>
        <v>1293835</v>
      </c>
      <c r="Q107" s="25"/>
    </row>
    <row r="108" s="1" customFormat="1" spans="1:17">
      <c r="A108" s="10">
        <v>99</v>
      </c>
      <c r="B108" s="13" t="s">
        <v>129</v>
      </c>
      <c r="C108" s="13" t="s">
        <v>100</v>
      </c>
      <c r="D108" s="30">
        <v>905</v>
      </c>
      <c r="E108" s="15">
        <v>7370000</v>
      </c>
      <c r="F108" s="9">
        <f>225000+896025</f>
        <v>1121025</v>
      </c>
      <c r="G108" s="9">
        <f>854096+2415800</f>
        <v>3269896</v>
      </c>
      <c r="H108" s="9">
        <f>1811850+1007900</f>
        <v>2819750</v>
      </c>
      <c r="I108" s="9">
        <v>-11250</v>
      </c>
      <c r="J108" s="9">
        <f>5625+5625+22400.63+22400.63+60395+60395+45296.25+45296.25+25197.5+25197.5</f>
        <v>317828.76</v>
      </c>
      <c r="K108" s="15"/>
      <c r="L108" s="15">
        <f>25000+200000+600000+300000</f>
        <v>1125000</v>
      </c>
      <c r="M108" s="15">
        <f>809450+265800+750000</f>
        <v>1825250</v>
      </c>
      <c r="N108" s="15">
        <f>1400000+1811850+1000000</f>
        <v>4211850</v>
      </c>
      <c r="O108" s="9">
        <f t="shared" ref="O108:O113" si="16">F108+G108+H108+I108+J108+K108-L108-M108-N108</f>
        <v>355149.76</v>
      </c>
      <c r="P108" s="15">
        <f t="shared" ref="P108:P113" si="17">E108+K108-L108+J108+I108-M108-N108</f>
        <v>514478.76</v>
      </c>
      <c r="Q108" s="25"/>
    </row>
    <row r="109" s="1" customFormat="1" spans="1:17">
      <c r="A109" s="10">
        <v>100</v>
      </c>
      <c r="B109" s="13" t="s">
        <v>130</v>
      </c>
      <c r="C109" s="13" t="s">
        <v>100</v>
      </c>
      <c r="D109" s="30">
        <v>906</v>
      </c>
      <c r="E109" s="15">
        <v>9663200</v>
      </c>
      <c r="F109" s="9"/>
      <c r="G109" s="9"/>
      <c r="H109" s="9"/>
      <c r="I109" s="9"/>
      <c r="J109" s="9"/>
      <c r="K109" s="15"/>
      <c r="L109" s="15"/>
      <c r="M109" s="15"/>
      <c r="N109" s="15">
        <f>236250+200000+200000+200000+200000+5900000</f>
        <v>6936250</v>
      </c>
      <c r="O109" s="9">
        <f t="shared" si="16"/>
        <v>-6936250</v>
      </c>
      <c r="P109" s="15">
        <f t="shared" si="17"/>
        <v>2726950</v>
      </c>
      <c r="Q109" s="25"/>
    </row>
    <row r="110" s="1" customFormat="1" spans="1:17">
      <c r="A110" s="10">
        <v>101</v>
      </c>
      <c r="B110" s="13" t="s">
        <v>131</v>
      </c>
      <c r="C110" s="13" t="s">
        <v>100</v>
      </c>
      <c r="D110" s="30">
        <v>1001</v>
      </c>
      <c r="E110" s="15">
        <v>6661500</v>
      </c>
      <c r="F110" s="9"/>
      <c r="G110" s="9"/>
      <c r="H110" s="9">
        <f>1962682+3390363+1108455</f>
        <v>6461500</v>
      </c>
      <c r="I110" s="9"/>
      <c r="J110" s="9">
        <f>49067.05+49067.05+84759.08+84759.08+27711.38+27711.38</f>
        <v>323075.02</v>
      </c>
      <c r="K110" s="15"/>
      <c r="L110" s="15"/>
      <c r="M110" s="15"/>
      <c r="N110" s="15">
        <f>26250+308936+900000+900000+900000+524695+1365000</f>
        <v>4924881</v>
      </c>
      <c r="O110" s="9">
        <f t="shared" si="16"/>
        <v>1859694.02</v>
      </c>
      <c r="P110" s="15">
        <f t="shared" si="17"/>
        <v>2059694.02</v>
      </c>
      <c r="Q110" s="25"/>
    </row>
    <row r="111" s="1" customFormat="1" spans="1:17">
      <c r="A111" s="10">
        <v>102</v>
      </c>
      <c r="B111" s="28" t="s">
        <v>132</v>
      </c>
      <c r="C111" s="29" t="s">
        <v>100</v>
      </c>
      <c r="D111" s="30">
        <v>1002</v>
      </c>
      <c r="E111" s="15">
        <v>7475000</v>
      </c>
      <c r="F111" s="9"/>
      <c r="G111" s="9">
        <v>1959125</v>
      </c>
      <c r="H111" s="9">
        <f>2451500+1838625+1025750</f>
        <v>5315875</v>
      </c>
      <c r="I111" s="9"/>
      <c r="J111" s="9">
        <f>48978+48978+61287.5+61287.5+45965.63+45965.63+25643.75+25643.75</f>
        <v>363749.76</v>
      </c>
      <c r="K111" s="15"/>
      <c r="L111" s="15"/>
      <c r="M111" s="15">
        <f>1346250+612875</f>
        <v>1959125</v>
      </c>
      <c r="N111" s="15">
        <v>2574075</v>
      </c>
      <c r="O111" s="9">
        <f t="shared" si="16"/>
        <v>3105549.76</v>
      </c>
      <c r="P111" s="15">
        <f t="shared" si="17"/>
        <v>3305549.76</v>
      </c>
      <c r="Q111" s="25"/>
    </row>
    <row r="112" s="1" customFormat="1" spans="1:17">
      <c r="A112" s="10">
        <v>103</v>
      </c>
      <c r="B112" s="28" t="s">
        <v>133</v>
      </c>
      <c r="C112" s="29" t="s">
        <v>100</v>
      </c>
      <c r="D112" s="30">
        <v>1004</v>
      </c>
      <c r="E112" s="15">
        <v>7811000</v>
      </c>
      <c r="F112" s="9"/>
      <c r="G112" s="9"/>
      <c r="H112" s="9">
        <f>2038085+2565740+1924305+1924305-641435</f>
        <v>7811000</v>
      </c>
      <c r="I112" s="9"/>
      <c r="J112" s="9">
        <f>50952+50952+64143.5+64143.5+48107.63+48107.63+48107.63+48107.63-16035.88-16035.88</f>
        <v>390549.76</v>
      </c>
      <c r="K112" s="15"/>
      <c r="L112" s="15"/>
      <c r="M112" s="15"/>
      <c r="N112" s="15">
        <f>1466492+2694027+673507</f>
        <v>4834026</v>
      </c>
      <c r="O112" s="9">
        <f t="shared" si="16"/>
        <v>3367523.76</v>
      </c>
      <c r="P112" s="15">
        <f t="shared" si="17"/>
        <v>3367523.76</v>
      </c>
      <c r="Q112" s="25"/>
    </row>
    <row r="113" s="1" customFormat="1" spans="1:17">
      <c r="A113" s="10">
        <v>104</v>
      </c>
      <c r="B113" s="28" t="s">
        <v>134</v>
      </c>
      <c r="C113" s="29" t="s">
        <v>100</v>
      </c>
      <c r="D113" s="30">
        <v>1005</v>
      </c>
      <c r="E113" s="15">
        <v>9393200</v>
      </c>
      <c r="F113" s="9"/>
      <c r="G113" s="9">
        <v>0</v>
      </c>
      <c r="H113" s="9">
        <f>7841360+2327780-775940</f>
        <v>9393200</v>
      </c>
      <c r="I113" s="9"/>
      <c r="J113" s="9">
        <f>196034+196034+58194.5+58194.5-19398.5-19398.5</f>
        <v>469660</v>
      </c>
      <c r="K113" s="15"/>
      <c r="L113" s="15"/>
      <c r="M113" s="15">
        <v>0</v>
      </c>
      <c r="N113" s="15">
        <f>225000+1489429+6518999</f>
        <v>8233428</v>
      </c>
      <c r="O113" s="9">
        <f t="shared" si="16"/>
        <v>1629432</v>
      </c>
      <c r="P113" s="15">
        <f t="shared" si="17"/>
        <v>1629432</v>
      </c>
      <c r="Q113" s="25"/>
    </row>
    <row r="114" ht="15.75" spans="1:16">
      <c r="A114" s="31"/>
      <c r="B114" s="16" t="s">
        <v>135</v>
      </c>
      <c r="C114" s="27"/>
      <c r="D114" s="27"/>
      <c r="E114" s="19">
        <f>SUM(E82:E113)</f>
        <v>234787200</v>
      </c>
      <c r="F114" s="19">
        <f>SUM(F82:F113)</f>
        <v>8336275</v>
      </c>
      <c r="G114" s="19">
        <f>SUM(G82:G113)</f>
        <v>99824702</v>
      </c>
      <c r="H114" s="19"/>
      <c r="I114" s="19">
        <f>SUM(I82:I113)</f>
        <v>-11250</v>
      </c>
      <c r="J114" s="19">
        <f>SUM(J82:J113)</f>
        <v>9647002.92</v>
      </c>
      <c r="K114" s="19">
        <f>SUM(K82:K113)</f>
        <v>473207</v>
      </c>
      <c r="L114" s="19">
        <f>SUM(L82:L113)</f>
        <v>5284550</v>
      </c>
      <c r="M114" s="19">
        <f>SUM(M82:M113)</f>
        <v>76175673</v>
      </c>
      <c r="N114" s="19"/>
      <c r="O114" s="19">
        <f>SUM(O79:O113)</f>
        <v>11081898.84</v>
      </c>
      <c r="P114" s="19">
        <f>SUM(P79:P113)</f>
        <v>53222235.84</v>
      </c>
    </row>
    <row r="115" ht="16.5" spans="1:16">
      <c r="A115" s="32"/>
      <c r="B115" s="33" t="s">
        <v>136</v>
      </c>
      <c r="C115" s="13"/>
      <c r="D115" s="14"/>
      <c r="E115" s="34">
        <f>E52+E78+E114</f>
        <v>711509900</v>
      </c>
      <c r="F115" s="34">
        <f>F52+F78+F114</f>
        <v>148309717</v>
      </c>
      <c r="G115" s="34">
        <f>G52+G78+G114</f>
        <v>337080248</v>
      </c>
      <c r="H115" s="34"/>
      <c r="I115" s="34">
        <f>I52+I78+I114</f>
        <v>-32990</v>
      </c>
      <c r="J115" s="34">
        <f>J52+J78+J114</f>
        <v>32020928.57</v>
      </c>
      <c r="K115" s="34">
        <f>K52+K78+K114</f>
        <v>3787777.04</v>
      </c>
      <c r="L115" s="34">
        <f>L52+L78+L114</f>
        <v>129000114</v>
      </c>
      <c r="M115" s="34">
        <f>M52+M78+M114</f>
        <v>283868688</v>
      </c>
      <c r="N115" s="34"/>
      <c r="O115" s="34">
        <f>O52+O78+O114</f>
        <v>31680274.53</v>
      </c>
      <c r="P115" s="34">
        <f>P52+P78+P114</f>
        <v>107416657.53</v>
      </c>
    </row>
    <row r="116" ht="15.75" spans="2:16">
      <c r="B116" s="35"/>
      <c r="C116" s="35"/>
      <c r="D116" s="36"/>
      <c r="E116" s="37"/>
      <c r="K116" s="39"/>
      <c r="L116" s="39"/>
      <c r="M116" s="39"/>
      <c r="N116" s="39"/>
      <c r="P116" s="39"/>
    </row>
    <row r="117" spans="2:16">
      <c r="B117" s="35"/>
      <c r="C117" s="35"/>
      <c r="D117" s="36"/>
      <c r="E117" s="37"/>
      <c r="K117" s="39"/>
      <c r="L117" s="39"/>
      <c r="M117" s="39"/>
      <c r="N117" s="39"/>
      <c r="P117" s="39"/>
    </row>
    <row r="118" spans="2:16">
      <c r="B118" s="35"/>
      <c r="C118" s="35"/>
      <c r="D118" s="36"/>
      <c r="E118" s="37"/>
      <c r="K118" s="39"/>
      <c r="L118" s="39"/>
      <c r="M118" s="39"/>
      <c r="N118" s="39"/>
      <c r="P118" s="39"/>
    </row>
    <row r="119" spans="2:16">
      <c r="B119" s="35"/>
      <c r="C119" s="35"/>
      <c r="D119" s="36"/>
      <c r="E119" s="37"/>
      <c r="K119" s="39"/>
      <c r="L119" s="39"/>
      <c r="M119" s="39"/>
      <c r="N119" s="39"/>
      <c r="P119" s="39"/>
    </row>
    <row r="120" spans="2:16">
      <c r="B120" s="35"/>
      <c r="C120" s="35"/>
      <c r="D120" s="36"/>
      <c r="E120" s="37"/>
      <c r="K120" s="39"/>
      <c r="L120" s="39"/>
      <c r="M120" s="39"/>
      <c r="N120" s="39"/>
      <c r="P120" s="39"/>
    </row>
    <row r="121" spans="2:16">
      <c r="B121" s="35"/>
      <c r="C121" s="35"/>
      <c r="D121" s="36"/>
      <c r="E121" s="37"/>
      <c r="K121" s="39"/>
      <c r="L121" s="39"/>
      <c r="M121" s="39"/>
      <c r="N121" s="39"/>
      <c r="P121" s="39"/>
    </row>
    <row r="122" spans="2:16">
      <c r="B122" s="35"/>
      <c r="C122" s="35"/>
      <c r="D122" s="36"/>
      <c r="E122" s="37"/>
      <c r="K122" s="39"/>
      <c r="L122" s="39"/>
      <c r="M122" s="39"/>
      <c r="N122" s="39"/>
      <c r="P122" s="39"/>
    </row>
    <row r="123" spans="2:16">
      <c r="B123" s="35"/>
      <c r="C123" s="35"/>
      <c r="D123" s="36"/>
      <c r="E123" s="37"/>
      <c r="K123" s="39"/>
      <c r="L123" s="39"/>
      <c r="M123" s="39"/>
      <c r="N123" s="39"/>
      <c r="P123" s="39"/>
    </row>
    <row r="124" spans="2:16">
      <c r="B124" s="35"/>
      <c r="C124" s="35"/>
      <c r="D124" s="36"/>
      <c r="E124" s="37"/>
      <c r="K124" s="39"/>
      <c r="L124" s="39"/>
      <c r="M124" s="39"/>
      <c r="N124" s="39"/>
      <c r="P124" s="39"/>
    </row>
    <row r="125" spans="2:16">
      <c r="B125" s="35"/>
      <c r="C125" s="35"/>
      <c r="D125" s="36"/>
      <c r="E125" s="37"/>
      <c r="K125" s="39"/>
      <c r="L125" s="39"/>
      <c r="M125" s="39"/>
      <c r="N125" s="39"/>
      <c r="P125" s="39"/>
    </row>
    <row r="126" spans="2:16">
      <c r="B126" s="35"/>
      <c r="C126" s="35"/>
      <c r="D126" s="36"/>
      <c r="E126" s="37"/>
      <c r="K126" s="39"/>
      <c r="L126" s="39"/>
      <c r="M126" s="39"/>
      <c r="N126" s="39"/>
      <c r="P126" s="39"/>
    </row>
    <row r="127" spans="2:16">
      <c r="B127" s="35"/>
      <c r="C127" s="35"/>
      <c r="D127" s="36"/>
      <c r="E127" s="37"/>
      <c r="K127" s="39"/>
      <c r="L127" s="39"/>
      <c r="M127" s="39"/>
      <c r="N127" s="39"/>
      <c r="P127" s="39"/>
    </row>
    <row r="128" spans="2:16">
      <c r="B128" s="35"/>
      <c r="C128" s="35"/>
      <c r="D128" s="36"/>
      <c r="E128" s="37"/>
      <c r="K128" s="39"/>
      <c r="L128" s="39"/>
      <c r="M128" s="39"/>
      <c r="N128" s="39"/>
      <c r="P128" s="39"/>
    </row>
    <row r="129" spans="2:16">
      <c r="B129" s="35"/>
      <c r="C129" s="35"/>
      <c r="D129" s="36"/>
      <c r="E129" s="37"/>
      <c r="K129" s="39"/>
      <c r="L129" s="39"/>
      <c r="M129" s="39"/>
      <c r="N129" s="39"/>
      <c r="P129" s="39"/>
    </row>
    <row r="130" spans="2:16">
      <c r="B130" s="35"/>
      <c r="C130" s="35"/>
      <c r="D130" s="36"/>
      <c r="E130" s="37"/>
      <c r="K130" s="39"/>
      <c r="L130" s="39"/>
      <c r="M130" s="39"/>
      <c r="N130" s="39"/>
      <c r="P130" s="39"/>
    </row>
    <row r="131" spans="2:16">
      <c r="B131" s="35"/>
      <c r="C131" s="35"/>
      <c r="D131" s="36"/>
      <c r="E131" s="37"/>
      <c r="K131" s="39"/>
      <c r="L131" s="39"/>
      <c r="M131" s="39"/>
      <c r="N131" s="39"/>
      <c r="P131" s="39"/>
    </row>
    <row r="132" spans="2:16">
      <c r="B132" s="35"/>
      <c r="C132" s="35"/>
      <c r="D132" s="36"/>
      <c r="E132" s="37"/>
      <c r="K132" s="39"/>
      <c r="L132" s="39"/>
      <c r="M132" s="39"/>
      <c r="N132" s="39"/>
      <c r="P132" s="39"/>
    </row>
    <row r="133" spans="2:16">
      <c r="B133" s="35"/>
      <c r="C133" s="35"/>
      <c r="D133" s="36"/>
      <c r="E133" s="37"/>
      <c r="K133" s="39"/>
      <c r="L133" s="39"/>
      <c r="M133" s="39"/>
      <c r="N133" s="39"/>
      <c r="P133" s="39"/>
    </row>
    <row r="134" spans="2:16">
      <c r="B134" s="35"/>
      <c r="C134" s="35"/>
      <c r="D134" s="36"/>
      <c r="E134" s="37"/>
      <c r="K134" s="39"/>
      <c r="L134" s="39"/>
      <c r="M134" s="39"/>
      <c r="N134" s="39"/>
      <c r="P134" s="39"/>
    </row>
    <row r="135" spans="2:16">
      <c r="B135" s="35"/>
      <c r="C135" s="35"/>
      <c r="D135" s="36"/>
      <c r="E135" s="37"/>
      <c r="K135" s="39"/>
      <c r="L135" s="39"/>
      <c r="M135" s="39"/>
      <c r="N135" s="39"/>
      <c r="P135" s="39"/>
    </row>
    <row r="136" spans="2:16">
      <c r="B136" s="35"/>
      <c r="C136" s="35"/>
      <c r="D136" s="36"/>
      <c r="E136" s="37"/>
      <c r="K136" s="39"/>
      <c r="L136" s="39"/>
      <c r="M136" s="39"/>
      <c r="N136" s="39"/>
      <c r="P136" s="39"/>
    </row>
    <row r="137" spans="2:16">
      <c r="B137" s="35"/>
      <c r="C137" s="35"/>
      <c r="D137" s="36"/>
      <c r="E137" s="37"/>
      <c r="K137" s="39"/>
      <c r="L137" s="39"/>
      <c r="M137" s="39"/>
      <c r="N137" s="39"/>
      <c r="P137" s="39"/>
    </row>
    <row r="138" spans="2:16">
      <c r="B138" s="35"/>
      <c r="C138" s="35"/>
      <c r="D138" s="36"/>
      <c r="E138" s="37"/>
      <c r="K138" s="39"/>
      <c r="L138" s="39"/>
      <c r="M138" s="39"/>
      <c r="N138" s="39"/>
      <c r="P138" s="39"/>
    </row>
    <row r="139" spans="2:16">
      <c r="B139" s="35"/>
      <c r="C139" s="35"/>
      <c r="D139" s="36"/>
      <c r="E139" s="37"/>
      <c r="K139" s="39"/>
      <c r="L139" s="39"/>
      <c r="M139" s="39"/>
      <c r="N139" s="39"/>
      <c r="P139" s="39"/>
    </row>
    <row r="140" spans="2:16">
      <c r="B140" s="35"/>
      <c r="C140" s="35"/>
      <c r="D140" s="36"/>
      <c r="E140" s="37"/>
      <c r="K140" s="39"/>
      <c r="L140" s="39"/>
      <c r="M140" s="39"/>
      <c r="N140" s="39"/>
      <c r="P140" s="39"/>
    </row>
    <row r="141" spans="2:16">
      <c r="B141" s="35"/>
      <c r="C141" s="35"/>
      <c r="D141" s="36"/>
      <c r="E141" s="37"/>
      <c r="K141" s="39"/>
      <c r="L141" s="39"/>
      <c r="M141" s="39"/>
      <c r="N141" s="39"/>
      <c r="P141" s="39"/>
    </row>
    <row r="142" spans="2:16">
      <c r="B142" s="35"/>
      <c r="C142" s="35"/>
      <c r="D142" s="36"/>
      <c r="E142" s="37"/>
      <c r="K142" s="39"/>
      <c r="L142" s="39"/>
      <c r="M142" s="39"/>
      <c r="N142" s="39"/>
      <c r="P142" s="39"/>
    </row>
    <row r="143" spans="2:16">
      <c r="B143" s="35"/>
      <c r="C143" s="35"/>
      <c r="D143" s="36"/>
      <c r="E143" s="37"/>
      <c r="K143" s="39"/>
      <c r="L143" s="39"/>
      <c r="M143" s="39"/>
      <c r="N143" s="39"/>
      <c r="P143" s="39"/>
    </row>
    <row r="144" spans="2:16">
      <c r="B144" s="35"/>
      <c r="C144" s="35"/>
      <c r="D144" s="36"/>
      <c r="E144" s="37"/>
      <c r="K144" s="39"/>
      <c r="L144" s="39"/>
      <c r="M144" s="39"/>
      <c r="N144" s="39"/>
      <c r="P144" s="39"/>
    </row>
    <row r="145" spans="2:16">
      <c r="B145" s="35"/>
      <c r="C145" s="35"/>
      <c r="D145" s="36"/>
      <c r="E145" s="37"/>
      <c r="K145" s="39"/>
      <c r="L145" s="39"/>
      <c r="M145" s="39"/>
      <c r="N145" s="39"/>
      <c r="P145" s="39"/>
    </row>
    <row r="146" spans="2:16">
      <c r="B146" s="35"/>
      <c r="C146" s="35"/>
      <c r="D146" s="36"/>
      <c r="E146" s="37"/>
      <c r="K146" s="39"/>
      <c r="L146" s="39"/>
      <c r="M146" s="39"/>
      <c r="N146" s="39"/>
      <c r="P146" s="39"/>
    </row>
    <row r="147" spans="2:16">
      <c r="B147" s="35"/>
      <c r="C147" s="35"/>
      <c r="D147" s="36"/>
      <c r="E147" s="37"/>
      <c r="K147" s="39"/>
      <c r="L147" s="39"/>
      <c r="M147" s="39"/>
      <c r="N147" s="39"/>
      <c r="P147" s="39"/>
    </row>
    <row r="148" spans="2:16">
      <c r="B148" s="35"/>
      <c r="C148" s="35"/>
      <c r="D148" s="36"/>
      <c r="E148" s="37"/>
      <c r="K148" s="39"/>
      <c r="L148" s="39"/>
      <c r="M148" s="39"/>
      <c r="N148" s="39"/>
      <c r="P148" s="39"/>
    </row>
    <row r="149" spans="2:16">
      <c r="B149" s="35"/>
      <c r="C149" s="35"/>
      <c r="D149" s="36"/>
      <c r="E149" s="37"/>
      <c r="K149" s="39"/>
      <c r="L149" s="39"/>
      <c r="M149" s="39"/>
      <c r="N149" s="39"/>
      <c r="P149" s="39"/>
    </row>
    <row r="150" spans="2:16">
      <c r="B150" s="35"/>
      <c r="C150" s="35"/>
      <c r="D150" s="36"/>
      <c r="E150" s="37"/>
      <c r="K150" s="39"/>
      <c r="L150" s="39"/>
      <c r="M150" s="39"/>
      <c r="N150" s="39"/>
      <c r="P150" s="39"/>
    </row>
    <row r="151" spans="2:16">
      <c r="B151" s="35"/>
      <c r="C151" s="35"/>
      <c r="D151" s="36"/>
      <c r="E151" s="37"/>
      <c r="K151" s="39"/>
      <c r="L151" s="39"/>
      <c r="M151" s="39"/>
      <c r="N151" s="39"/>
      <c r="P151" s="39"/>
    </row>
    <row r="152" spans="2:16">
      <c r="B152" s="35"/>
      <c r="C152" s="35"/>
      <c r="D152" s="36"/>
      <c r="E152" s="37"/>
      <c r="K152" s="39"/>
      <c r="L152" s="39"/>
      <c r="M152" s="39"/>
      <c r="N152" s="39"/>
      <c r="P152" s="39"/>
    </row>
    <row r="153" spans="2:16">
      <c r="B153" s="35"/>
      <c r="C153" s="35"/>
      <c r="D153" s="36"/>
      <c r="E153" s="37"/>
      <c r="K153" s="39"/>
      <c r="L153" s="39"/>
      <c r="M153" s="39"/>
      <c r="N153" s="39"/>
      <c r="P153" s="39"/>
    </row>
    <row r="154" spans="2:16">
      <c r="B154" s="35"/>
      <c r="C154" s="35"/>
      <c r="D154" s="36"/>
      <c r="E154" s="37"/>
      <c r="K154" s="39"/>
      <c r="L154" s="39"/>
      <c r="M154" s="39"/>
      <c r="N154" s="39"/>
      <c r="P154" s="39"/>
    </row>
    <row r="155" spans="2:16">
      <c r="B155" s="35"/>
      <c r="C155" s="35"/>
      <c r="D155" s="36"/>
      <c r="E155" s="37"/>
      <c r="K155" s="39"/>
      <c r="L155" s="39"/>
      <c r="M155" s="39"/>
      <c r="N155" s="39"/>
      <c r="P155" s="39"/>
    </row>
    <row r="156" spans="2:16">
      <c r="B156" s="35"/>
      <c r="C156" s="35"/>
      <c r="D156" s="36"/>
      <c r="E156" s="37"/>
      <c r="K156" s="39"/>
      <c r="L156" s="39"/>
      <c r="M156" s="39"/>
      <c r="N156" s="39"/>
      <c r="P156" s="39"/>
    </row>
    <row r="157" spans="2:16">
      <c r="B157" s="35"/>
      <c r="C157" s="35"/>
      <c r="D157" s="36"/>
      <c r="E157" s="37"/>
      <c r="K157" s="39"/>
      <c r="L157" s="39"/>
      <c r="M157" s="39"/>
      <c r="N157" s="39"/>
      <c r="P157" s="39"/>
    </row>
    <row r="158" spans="2:16">
      <c r="B158" s="35"/>
      <c r="C158" s="35"/>
      <c r="D158" s="36"/>
      <c r="E158" s="37"/>
      <c r="K158" s="39"/>
      <c r="L158" s="39"/>
      <c r="M158" s="39"/>
      <c r="N158" s="39"/>
      <c r="P158" s="39"/>
    </row>
    <row r="159" spans="2:16">
      <c r="B159" s="35"/>
      <c r="C159" s="35"/>
      <c r="D159" s="36"/>
      <c r="E159" s="37"/>
      <c r="K159" s="39"/>
      <c r="L159" s="39"/>
      <c r="M159" s="39"/>
      <c r="N159" s="39"/>
      <c r="P159" s="39"/>
    </row>
    <row r="160" spans="2:16">
      <c r="B160" s="35"/>
      <c r="C160" s="35"/>
      <c r="D160" s="36"/>
      <c r="E160" s="37"/>
      <c r="K160" s="39"/>
      <c r="L160" s="39"/>
      <c r="M160" s="39"/>
      <c r="N160" s="39"/>
      <c r="P160" s="39"/>
    </row>
    <row r="161" spans="2:16">
      <c r="B161" s="35"/>
      <c r="C161" s="35"/>
      <c r="D161" s="36"/>
      <c r="E161" s="37"/>
      <c r="K161" s="39"/>
      <c r="L161" s="39"/>
      <c r="M161" s="39"/>
      <c r="N161" s="39"/>
      <c r="P161" s="39"/>
    </row>
    <row r="162" spans="2:16">
      <c r="B162" s="35"/>
      <c r="C162" s="35"/>
      <c r="D162" s="36"/>
      <c r="E162" s="37"/>
      <c r="K162" s="39"/>
      <c r="L162" s="39"/>
      <c r="M162" s="39"/>
      <c r="N162" s="39"/>
      <c r="P162" s="39"/>
    </row>
    <row r="163" spans="2:16">
      <c r="B163" s="35"/>
      <c r="C163" s="35"/>
      <c r="D163" s="36"/>
      <c r="E163" s="37"/>
      <c r="K163" s="39"/>
      <c r="L163" s="39"/>
      <c r="M163" s="39"/>
      <c r="N163" s="39"/>
      <c r="P163" s="39"/>
    </row>
    <row r="164" spans="2:16">
      <c r="B164" s="35"/>
      <c r="C164" s="35"/>
      <c r="D164" s="36"/>
      <c r="E164" s="37"/>
      <c r="K164" s="39"/>
      <c r="L164" s="39"/>
      <c r="M164" s="39"/>
      <c r="N164" s="39"/>
      <c r="P164" s="39"/>
    </row>
    <row r="165" spans="2:16">
      <c r="B165" s="35"/>
      <c r="C165" s="35"/>
      <c r="D165" s="36"/>
      <c r="E165" s="37"/>
      <c r="K165" s="39"/>
      <c r="L165" s="39"/>
      <c r="M165" s="39"/>
      <c r="N165" s="39"/>
      <c r="P165" s="39"/>
    </row>
    <row r="166" spans="2:16">
      <c r="B166" s="35"/>
      <c r="C166" s="35"/>
      <c r="D166" s="36"/>
      <c r="E166" s="37"/>
      <c r="K166" s="39"/>
      <c r="L166" s="39"/>
      <c r="M166" s="39"/>
      <c r="N166" s="39"/>
      <c r="P166" s="39"/>
    </row>
    <row r="167" spans="2:16">
      <c r="B167" s="35"/>
      <c r="C167" s="35"/>
      <c r="D167" s="36"/>
      <c r="E167" s="37"/>
      <c r="K167" s="39"/>
      <c r="L167" s="39"/>
      <c r="M167" s="39"/>
      <c r="N167" s="39"/>
      <c r="P167" s="39"/>
    </row>
    <row r="168" spans="2:16">
      <c r="B168" s="35"/>
      <c r="C168" s="35"/>
      <c r="D168" s="36"/>
      <c r="E168" s="37"/>
      <c r="K168" s="39"/>
      <c r="L168" s="39"/>
      <c r="M168" s="39"/>
      <c r="N168" s="39"/>
      <c r="P168" s="39"/>
    </row>
    <row r="169" spans="2:16">
      <c r="B169" s="35"/>
      <c r="C169" s="35"/>
      <c r="D169" s="36"/>
      <c r="E169" s="37"/>
      <c r="K169" s="39"/>
      <c r="L169" s="39"/>
      <c r="M169" s="39"/>
      <c r="N169" s="39"/>
      <c r="P169" s="39"/>
    </row>
    <row r="170" spans="2:16">
      <c r="B170" s="35"/>
      <c r="C170" s="35"/>
      <c r="D170" s="36"/>
      <c r="E170" s="37"/>
      <c r="K170" s="39"/>
      <c r="L170" s="39"/>
      <c r="M170" s="39"/>
      <c r="N170" s="39"/>
      <c r="P170" s="39"/>
    </row>
    <row r="171" spans="2:16">
      <c r="B171" s="35"/>
      <c r="C171" s="35"/>
      <c r="D171" s="36"/>
      <c r="E171" s="37"/>
      <c r="K171" s="39"/>
      <c r="L171" s="39"/>
      <c r="M171" s="39"/>
      <c r="N171" s="39"/>
      <c r="P171" s="39"/>
    </row>
    <row r="172" spans="2:16">
      <c r="B172" s="35"/>
      <c r="C172" s="35"/>
      <c r="D172" s="36"/>
      <c r="E172" s="37"/>
      <c r="K172" s="39"/>
      <c r="L172" s="39"/>
      <c r="M172" s="39"/>
      <c r="N172" s="39"/>
      <c r="P172" s="39"/>
    </row>
    <row r="173" spans="2:16">
      <c r="B173" s="35"/>
      <c r="C173" s="35"/>
      <c r="D173" s="36"/>
      <c r="E173" s="37"/>
      <c r="K173" s="39"/>
      <c r="L173" s="39"/>
      <c r="M173" s="39"/>
      <c r="N173" s="39"/>
      <c r="P173" s="39"/>
    </row>
    <row r="174" spans="2:16">
      <c r="B174" s="35"/>
      <c r="C174" s="35"/>
      <c r="D174" s="36"/>
      <c r="E174" s="37"/>
      <c r="K174" s="39"/>
      <c r="L174" s="39"/>
      <c r="M174" s="39"/>
      <c r="N174" s="39"/>
      <c r="P174" s="39"/>
    </row>
    <row r="175" spans="2:16">
      <c r="B175" s="35"/>
      <c r="C175" s="35"/>
      <c r="D175" s="36"/>
      <c r="E175" s="37"/>
      <c r="K175" s="39"/>
      <c r="L175" s="39"/>
      <c r="M175" s="39"/>
      <c r="N175" s="39"/>
      <c r="P175" s="39"/>
    </row>
    <row r="176" spans="2:16">
      <c r="B176" s="35"/>
      <c r="C176" s="35"/>
      <c r="D176" s="36"/>
      <c r="E176" s="37"/>
      <c r="K176" s="39"/>
      <c r="L176" s="39"/>
      <c r="M176" s="39"/>
      <c r="N176" s="39"/>
      <c r="P176" s="39"/>
    </row>
    <row r="177" spans="2:16">
      <c r="B177" s="35"/>
      <c r="C177" s="35"/>
      <c r="D177" s="36"/>
      <c r="E177" s="37"/>
      <c r="K177" s="39"/>
      <c r="L177" s="39"/>
      <c r="M177" s="39"/>
      <c r="N177" s="39"/>
      <c r="P177" s="39"/>
    </row>
    <row r="178" spans="2:16">
      <c r="B178" s="35"/>
      <c r="C178" s="35"/>
      <c r="D178" s="36"/>
      <c r="E178" s="37"/>
      <c r="K178" s="39"/>
      <c r="L178" s="39"/>
      <c r="M178" s="39"/>
      <c r="N178" s="39"/>
      <c r="P178" s="39"/>
    </row>
    <row r="179" spans="2:16">
      <c r="B179" s="35"/>
      <c r="C179" s="35"/>
      <c r="D179" s="36"/>
      <c r="E179" s="37"/>
      <c r="K179" s="39"/>
      <c r="L179" s="39"/>
      <c r="M179" s="39"/>
      <c r="N179" s="39"/>
      <c r="P179" s="39"/>
    </row>
    <row r="180" spans="2:16">
      <c r="B180" s="35"/>
      <c r="C180" s="35"/>
      <c r="D180" s="36"/>
      <c r="E180" s="37"/>
      <c r="K180" s="39"/>
      <c r="L180" s="39"/>
      <c r="M180" s="39"/>
      <c r="N180" s="39"/>
      <c r="P180" s="39"/>
    </row>
    <row r="181" spans="2:16">
      <c r="B181" s="35"/>
      <c r="C181" s="35"/>
      <c r="D181" s="36"/>
      <c r="E181" s="37"/>
      <c r="K181" s="39"/>
      <c r="L181" s="39"/>
      <c r="M181" s="39"/>
      <c r="N181" s="39"/>
      <c r="P181" s="39"/>
    </row>
    <row r="182" spans="2:16">
      <c r="B182" s="35"/>
      <c r="C182" s="35"/>
      <c r="D182" s="36"/>
      <c r="E182" s="37"/>
      <c r="K182" s="39"/>
      <c r="L182" s="39"/>
      <c r="M182" s="39"/>
      <c r="N182" s="39"/>
      <c r="P182" s="39"/>
    </row>
    <row r="183" spans="2:16">
      <c r="B183" s="35"/>
      <c r="C183" s="35"/>
      <c r="D183" s="36"/>
      <c r="E183" s="37"/>
      <c r="K183" s="39"/>
      <c r="L183" s="39"/>
      <c r="M183" s="39"/>
      <c r="N183" s="39"/>
      <c r="P183" s="39"/>
    </row>
    <row r="184" spans="2:16">
      <c r="B184" s="35"/>
      <c r="C184" s="35"/>
      <c r="D184" s="36"/>
      <c r="E184" s="37"/>
      <c r="K184" s="39"/>
      <c r="L184" s="39"/>
      <c r="M184" s="39"/>
      <c r="N184" s="39"/>
      <c r="P184" s="39"/>
    </row>
    <row r="185" spans="2:16">
      <c r="B185" s="35"/>
      <c r="C185" s="35"/>
      <c r="D185" s="36"/>
      <c r="E185" s="37"/>
      <c r="K185" s="39"/>
      <c r="L185" s="39"/>
      <c r="M185" s="39"/>
      <c r="N185" s="39"/>
      <c r="P185" s="39"/>
    </row>
    <row r="186" spans="2:16">
      <c r="B186" s="35"/>
      <c r="C186" s="35"/>
      <c r="D186" s="36"/>
      <c r="E186" s="37"/>
      <c r="K186" s="39"/>
      <c r="L186" s="39"/>
      <c r="M186" s="39"/>
      <c r="N186" s="39"/>
      <c r="P186" s="39"/>
    </row>
    <row r="187" spans="2:16">
      <c r="B187" s="35"/>
      <c r="C187" s="35"/>
      <c r="D187" s="36"/>
      <c r="E187" s="37"/>
      <c r="K187" s="39"/>
      <c r="L187" s="39"/>
      <c r="M187" s="39"/>
      <c r="N187" s="39"/>
      <c r="P187" s="39"/>
    </row>
    <row r="188" spans="2:16">
      <c r="B188" s="35"/>
      <c r="C188" s="35"/>
      <c r="D188" s="36"/>
      <c r="E188" s="37"/>
      <c r="K188" s="39"/>
      <c r="L188" s="39"/>
      <c r="M188" s="39"/>
      <c r="N188" s="39"/>
      <c r="P188" s="39"/>
    </row>
    <row r="189" spans="2:16">
      <c r="B189" s="35"/>
      <c r="C189" s="35"/>
      <c r="D189" s="36"/>
      <c r="E189" s="37"/>
      <c r="K189" s="39"/>
      <c r="L189" s="39"/>
      <c r="M189" s="39"/>
      <c r="N189" s="39"/>
      <c r="P189" s="39"/>
    </row>
    <row r="190" spans="2:16">
      <c r="B190" s="35"/>
      <c r="C190" s="35"/>
      <c r="D190" s="36"/>
      <c r="E190" s="37"/>
      <c r="K190" s="39"/>
      <c r="L190" s="39"/>
      <c r="M190" s="39"/>
      <c r="N190" s="39"/>
      <c r="P190" s="39"/>
    </row>
    <row r="191" spans="2:16">
      <c r="B191" s="35"/>
      <c r="C191" s="35"/>
      <c r="D191" s="36"/>
      <c r="E191" s="37"/>
      <c r="K191" s="39"/>
      <c r="L191" s="39"/>
      <c r="M191" s="39"/>
      <c r="N191" s="39"/>
      <c r="P191" s="39"/>
    </row>
    <row r="192" spans="2:16">
      <c r="B192" s="35"/>
      <c r="C192" s="35"/>
      <c r="D192" s="36"/>
      <c r="E192" s="37"/>
      <c r="K192" s="39"/>
      <c r="L192" s="39"/>
      <c r="M192" s="39"/>
      <c r="N192" s="39"/>
      <c r="P192" s="39"/>
    </row>
    <row r="193" spans="2:16">
      <c r="B193" s="35"/>
      <c r="C193" s="35"/>
      <c r="D193" s="36"/>
      <c r="E193" s="37"/>
      <c r="K193" s="39"/>
      <c r="L193" s="39"/>
      <c r="M193" s="39"/>
      <c r="N193" s="39"/>
      <c r="P193" s="39"/>
    </row>
    <row r="194" spans="2:16">
      <c r="B194" s="35"/>
      <c r="C194" s="35"/>
      <c r="D194" s="36"/>
      <c r="E194" s="37"/>
      <c r="K194" s="39"/>
      <c r="L194" s="39"/>
      <c r="M194" s="39"/>
      <c r="N194" s="39"/>
      <c r="P194" s="39"/>
    </row>
    <row r="195" spans="2:16">
      <c r="B195" s="35"/>
      <c r="C195" s="35"/>
      <c r="D195" s="36"/>
      <c r="E195" s="37"/>
      <c r="K195" s="39"/>
      <c r="L195" s="39"/>
      <c r="M195" s="39"/>
      <c r="N195" s="39"/>
      <c r="P195" s="39"/>
    </row>
    <row r="196" spans="2:16">
      <c r="B196" s="35"/>
      <c r="C196" s="35"/>
      <c r="D196" s="36"/>
      <c r="E196" s="37"/>
      <c r="K196" s="39"/>
      <c r="L196" s="39"/>
      <c r="M196" s="39"/>
      <c r="N196" s="39"/>
      <c r="P196" s="39"/>
    </row>
    <row r="197" spans="2:16">
      <c r="B197" s="35"/>
      <c r="C197" s="35"/>
      <c r="D197" s="36"/>
      <c r="E197" s="37"/>
      <c r="K197" s="39"/>
      <c r="L197" s="39"/>
      <c r="M197" s="39"/>
      <c r="N197" s="39"/>
      <c r="P197" s="39"/>
    </row>
    <row r="198" spans="2:16">
      <c r="B198" s="35"/>
      <c r="C198" s="35"/>
      <c r="D198" s="36"/>
      <c r="E198" s="37"/>
      <c r="K198" s="39"/>
      <c r="L198" s="39"/>
      <c r="M198" s="39"/>
      <c r="N198" s="39"/>
      <c r="P198" s="39"/>
    </row>
    <row r="199" spans="2:16">
      <c r="B199" s="35"/>
      <c r="C199" s="35"/>
      <c r="D199" s="36"/>
      <c r="E199" s="37"/>
      <c r="K199" s="39"/>
      <c r="L199" s="39"/>
      <c r="M199" s="39"/>
      <c r="N199" s="39"/>
      <c r="P199" s="39"/>
    </row>
    <row r="200" spans="2:16">
      <c r="B200" s="35"/>
      <c r="C200" s="35"/>
      <c r="D200" s="36"/>
      <c r="E200" s="37"/>
      <c r="K200" s="39"/>
      <c r="L200" s="39"/>
      <c r="M200" s="39"/>
      <c r="N200" s="39"/>
      <c r="P200" s="39"/>
    </row>
    <row r="201" spans="2:16">
      <c r="B201" s="35"/>
      <c r="C201" s="35"/>
      <c r="D201" s="36"/>
      <c r="E201" s="37"/>
      <c r="K201" s="39"/>
      <c r="L201" s="39"/>
      <c r="M201" s="39"/>
      <c r="N201" s="39"/>
      <c r="P201" s="39"/>
    </row>
    <row r="202" spans="2:16">
      <c r="B202" s="35"/>
      <c r="C202" s="35"/>
      <c r="D202" s="36"/>
      <c r="E202" s="37"/>
      <c r="K202" s="39"/>
      <c r="L202" s="39"/>
      <c r="M202" s="39"/>
      <c r="N202" s="39"/>
      <c r="P202" s="39"/>
    </row>
    <row r="203" spans="2:16">
      <c r="B203" s="35"/>
      <c r="C203" s="35"/>
      <c r="D203" s="36"/>
      <c r="E203" s="37"/>
      <c r="K203" s="39"/>
      <c r="L203" s="39"/>
      <c r="M203" s="39"/>
      <c r="N203" s="39"/>
      <c r="P203" s="39"/>
    </row>
    <row r="209" spans="1:16">
      <c r="A209" s="40"/>
      <c r="B209" s="35"/>
      <c r="C209" s="35"/>
      <c r="D209" s="36"/>
      <c r="E209" s="39"/>
      <c r="F209" s="41"/>
      <c r="G209" s="41"/>
      <c r="H209" s="41"/>
      <c r="I209" s="41"/>
      <c r="K209" s="39"/>
      <c r="L209" s="39"/>
      <c r="M209" s="39"/>
      <c r="N209" s="39"/>
      <c r="P209" s="39"/>
    </row>
  </sheetData>
  <mergeCells count="3">
    <mergeCell ref="A4:L4"/>
    <mergeCell ref="A5:L5"/>
    <mergeCell ref="A6:B6"/>
  </mergeCells>
  <printOptions gridLines="1"/>
  <pageMargins left="0.38" right="0.75" top="0.23" bottom="0.24" header="0.21" footer="0.24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shivanand</dc:creator>
  <cp:lastModifiedBy>accts</cp:lastModifiedBy>
  <dcterms:created xsi:type="dcterms:W3CDTF">2021-07-17T12:16:00Z</dcterms:created>
  <cp:lastPrinted>2021-11-29T05:44:00Z</cp:lastPrinted>
  <dcterms:modified xsi:type="dcterms:W3CDTF">2022-02-01T05:28:52Z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8248F857DC3648A6AC9DBE4C94790833</vt:lpwstr>
  </property>
</Properties>
</file>